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Q:\TREASURY\EXCEL\NALT 21-A\ABS\Salesforce\"/>
    </mc:Choice>
  </mc:AlternateContent>
  <xr:revisionPtr revIDLastSave="0" documentId="13_ncr:1_{895D32C2-7E01-4C9C-ABE8-69EFC9567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22" sheetId="12" r:id="rId1"/>
    <sheet name="Nov22" sheetId="11" r:id="rId2"/>
    <sheet name="Oct22" sheetId="10" r:id="rId3"/>
    <sheet name="Sep22" sheetId="9" r:id="rId4"/>
    <sheet name="Aug22" sheetId="8" r:id="rId5"/>
    <sheet name="Jul22" sheetId="7" r:id="rId6"/>
    <sheet name="Jun22" sheetId="6" r:id="rId7"/>
    <sheet name="May22" sheetId="5" r:id="rId8"/>
    <sheet name="Apr22" sheetId="4" r:id="rId9"/>
    <sheet name="Mar22" sheetId="3" r:id="rId10"/>
    <sheet name="Feb22" sheetId="2" r:id="rId11"/>
    <sheet name="Jan22" sheetId="1" r:id="rId12"/>
  </sheets>
  <externalReferences>
    <externalReference r:id="rId13"/>
    <externalReference r:id="rId14"/>
    <externalReference r:id="rId15"/>
    <externalReference r:id="rId16"/>
  </externalReferences>
  <definedNames>
    <definedName name="AllocationPercentage" localSheetId="8">#REF!</definedName>
    <definedName name="AllocationPercentage" localSheetId="4">#REF!</definedName>
    <definedName name="AllocationPercentage" localSheetId="0">#REF!</definedName>
    <definedName name="AllocationPercentage" localSheetId="10">#REF!</definedName>
    <definedName name="AllocationPercentage" localSheetId="5">#REF!</definedName>
    <definedName name="AllocationPercentage" localSheetId="9">#REF!</definedName>
    <definedName name="AllocationPercentage" localSheetId="1">#REF!</definedName>
    <definedName name="AllocationPercentage" localSheetId="2">#REF!</definedName>
    <definedName name="AllocationPercentage" localSheetId="3">#REF!</definedName>
    <definedName name="AllocationPercentage">#REF!</definedName>
    <definedName name="depositorpercentage" localSheetId="8">#REF!</definedName>
    <definedName name="depositorpercentage" localSheetId="4">#REF!</definedName>
    <definedName name="depositorpercentage" localSheetId="0">#REF!</definedName>
    <definedName name="depositorpercentage" localSheetId="10">#REF!</definedName>
    <definedName name="depositorpercentage" localSheetId="5">#REF!</definedName>
    <definedName name="depositorpercentage" localSheetId="3">#REF!</definedName>
    <definedName name="depositorpercentage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3">#REF!</definedName>
    <definedName name="Officer">#REF!</definedName>
    <definedName name="prinatRAP">#REF!</definedName>
    <definedName name="_xlnm.Print_Area" localSheetId="8">'Apr22'!$A$1:$I$268</definedName>
    <definedName name="_xlnm.Print_Area" localSheetId="4">'Aug22'!$A$1:$I$268</definedName>
    <definedName name="_xlnm.Print_Area" localSheetId="0">'Dec22'!$A$1:$I$268</definedName>
    <definedName name="_xlnm.Print_Area" localSheetId="10">'Feb22'!$A$1:$I$268</definedName>
    <definedName name="_xlnm.Print_Area" localSheetId="11">'Jan22'!$A$1:$I$268</definedName>
    <definedName name="_xlnm.Print_Area" localSheetId="5">'Jul22'!$A$1:$I$268</definedName>
    <definedName name="_xlnm.Print_Area" localSheetId="6">'Jun22'!$A$1:$I$268</definedName>
    <definedName name="_xlnm.Print_Area" localSheetId="9">'Mar22'!$A$1:$I$268</definedName>
    <definedName name="_xlnm.Print_Area" localSheetId="7">'May22'!$A$1:$I$268</definedName>
    <definedName name="_xlnm.Print_Area" localSheetId="1">'Nov22'!$A$1:$I$268</definedName>
    <definedName name="_xlnm.Print_Area" localSheetId="2">'Oct22'!$A$1:$I$268</definedName>
    <definedName name="_xlnm.Print_Area" localSheetId="3">'Sep22'!$A$1:$I$268</definedName>
    <definedName name="test" localSheetId="4">#REF!</definedName>
    <definedName name="test" localSheetId="0">#REF!</definedName>
    <definedName name="test" localSheetId="5">#REF!</definedName>
    <definedName name="test" localSheetId="6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4">#REF!</definedName>
    <definedName name="Title" localSheetId="0">#REF!</definedName>
    <definedName name="Title" localSheetId="5">#REF!</definedName>
    <definedName name="Title" localSheetId="6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0" i="4" l="1"/>
  <c r="H267" i="4"/>
  <c r="H264" i="4"/>
  <c r="H261" i="4"/>
  <c r="H258" i="4"/>
  <c r="H255" i="4"/>
  <c r="H248" i="4"/>
  <c r="H247" i="4"/>
  <c r="H246" i="4"/>
  <c r="H245" i="4"/>
  <c r="H243" i="4"/>
  <c r="H242" i="4"/>
  <c r="H241" i="4"/>
  <c r="H240" i="4"/>
  <c r="G236" i="4"/>
  <c r="H235" i="4"/>
  <c r="G235" i="4"/>
  <c r="H234" i="4"/>
  <c r="G234" i="4"/>
  <c r="H230" i="4"/>
  <c r="G230" i="4"/>
  <c r="G231" i="4" s="1"/>
  <c r="H229" i="4"/>
  <c r="G229" i="4"/>
  <c r="G225" i="4"/>
  <c r="G224" i="4"/>
  <c r="G226" i="4" s="1"/>
  <c r="G223" i="4"/>
  <c r="H221" i="4"/>
  <c r="G221" i="4"/>
  <c r="H220" i="4"/>
  <c r="G220" i="4"/>
  <c r="H219" i="4"/>
  <c r="G219" i="4"/>
  <c r="F215" i="4"/>
  <c r="H214" i="4"/>
  <c r="G214" i="4"/>
  <c r="F214" i="4"/>
  <c r="H213" i="4"/>
  <c r="G213" i="4"/>
  <c r="F213" i="4"/>
  <c r="H212" i="4"/>
  <c r="H218" i="4" s="1"/>
  <c r="G212" i="4"/>
  <c r="F212" i="4"/>
  <c r="H211" i="4"/>
  <c r="G211" i="4"/>
  <c r="G215" i="4" s="1"/>
  <c r="F211" i="4"/>
  <c r="H208" i="4"/>
  <c r="G206" i="4"/>
  <c r="G205" i="4"/>
  <c r="G204" i="4"/>
  <c r="G200" i="4"/>
  <c r="H199" i="4"/>
  <c r="G199" i="4"/>
  <c r="G198" i="4"/>
  <c r="H195" i="4"/>
  <c r="H194" i="4"/>
  <c r="H193" i="4"/>
  <c r="H188" i="4"/>
  <c r="H186" i="4"/>
  <c r="H185" i="4"/>
  <c r="H182" i="4"/>
  <c r="H181" i="4"/>
  <c r="H184" i="4" s="1"/>
  <c r="H187" i="4" s="1"/>
  <c r="H189" i="4" s="1"/>
  <c r="H180" i="4"/>
  <c r="H179" i="4"/>
  <c r="H168" i="4"/>
  <c r="H165" i="4"/>
  <c r="H161" i="4"/>
  <c r="H160" i="4"/>
  <c r="H155" i="4"/>
  <c r="H158" i="4" s="1"/>
  <c r="H151" i="4"/>
  <c r="H150" i="4"/>
  <c r="H152" i="4" s="1"/>
  <c r="H146" i="4"/>
  <c r="H144" i="4"/>
  <c r="H143" i="4"/>
  <c r="H142" i="4"/>
  <c r="H138" i="4"/>
  <c r="H139" i="4" s="1"/>
  <c r="H136" i="4"/>
  <c r="H135" i="4"/>
  <c r="H134" i="4"/>
  <c r="H130" i="4"/>
  <c r="H131" i="4" s="1"/>
  <c r="H128" i="4"/>
  <c r="H127" i="4"/>
  <c r="H126" i="4"/>
  <c r="H122" i="4"/>
  <c r="H120" i="4"/>
  <c r="H119" i="4"/>
  <c r="H118" i="4"/>
  <c r="H114" i="4"/>
  <c r="H115" i="4" s="1"/>
  <c r="H112" i="4"/>
  <c r="H111" i="4"/>
  <c r="H110" i="4"/>
  <c r="H106" i="4"/>
  <c r="H107" i="4" s="1"/>
  <c r="H104" i="4"/>
  <c r="H103" i="4"/>
  <c r="H102" i="4"/>
  <c r="H96" i="4"/>
  <c r="H95" i="4"/>
  <c r="H93" i="4"/>
  <c r="H92" i="4"/>
  <c r="H91" i="4"/>
  <c r="H98" i="4" s="1"/>
  <c r="H88" i="4"/>
  <c r="H89" i="4" s="1"/>
  <c r="H87" i="4"/>
  <c r="G81" i="4"/>
  <c r="G80" i="4"/>
  <c r="G82" i="4" s="1"/>
  <c r="G76" i="4"/>
  <c r="E76" i="4"/>
  <c r="D76" i="4"/>
  <c r="G75" i="4"/>
  <c r="E75" i="4"/>
  <c r="D75" i="4"/>
  <c r="G74" i="4"/>
  <c r="E74" i="4"/>
  <c r="D74" i="4"/>
  <c r="G73" i="4"/>
  <c r="E73" i="4"/>
  <c r="D73" i="4"/>
  <c r="G72" i="4"/>
  <c r="E72" i="4"/>
  <c r="G71" i="4"/>
  <c r="D10" i="4" s="1"/>
  <c r="F71" i="4"/>
  <c r="E71" i="4"/>
  <c r="D71" i="4"/>
  <c r="H64" i="4"/>
  <c r="G64" i="4"/>
  <c r="H63" i="4"/>
  <c r="G63" i="4"/>
  <c r="H62" i="4"/>
  <c r="G62" i="4"/>
  <c r="G65" i="4" s="1"/>
  <c r="H61" i="4"/>
  <c r="F61" i="4"/>
  <c r="F65" i="4" s="1"/>
  <c r="H60" i="4"/>
  <c r="E60" i="4"/>
  <c r="H59" i="4"/>
  <c r="E59" i="4"/>
  <c r="H58" i="4"/>
  <c r="E58" i="4"/>
  <c r="H57" i="4"/>
  <c r="E57" i="4"/>
  <c r="H56" i="4"/>
  <c r="H65" i="4" s="1"/>
  <c r="E56" i="4"/>
  <c r="E65" i="4" s="1"/>
  <c r="H51" i="4"/>
  <c r="H49" i="4"/>
  <c r="H48" i="4"/>
  <c r="H47" i="4"/>
  <c r="H46" i="4"/>
  <c r="H45" i="4"/>
  <c r="H40" i="4"/>
  <c r="H41" i="4" s="1"/>
  <c r="H39" i="4"/>
  <c r="H36" i="4"/>
  <c r="H33" i="4"/>
  <c r="H32" i="4"/>
  <c r="H34" i="4" s="1"/>
  <c r="C26" i="4"/>
  <c r="B26" i="4"/>
  <c r="C25" i="4"/>
  <c r="B25" i="4"/>
  <c r="C24" i="4"/>
  <c r="B24" i="4"/>
  <c r="C23" i="4"/>
  <c r="B23" i="4"/>
  <c r="D23" i="4" s="1"/>
  <c r="C22" i="4"/>
  <c r="B22" i="4"/>
  <c r="C21" i="4"/>
  <c r="C27" i="4" s="1"/>
  <c r="B21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F14" i="4" s="1"/>
  <c r="B14" i="4"/>
  <c r="E13" i="4"/>
  <c r="D13" i="4"/>
  <c r="C13" i="4"/>
  <c r="B13" i="4"/>
  <c r="E12" i="4"/>
  <c r="E11" i="4" s="1"/>
  <c r="F11" i="4" s="1"/>
  <c r="D12" i="4"/>
  <c r="D11" i="4" s="1"/>
  <c r="C12" i="4"/>
  <c r="C11" i="4" s="1"/>
  <c r="C10" i="4" s="1"/>
  <c r="B12" i="4"/>
  <c r="C6" i="4"/>
  <c r="E5" i="4"/>
  <c r="C5" i="4"/>
  <c r="E4" i="4"/>
  <c r="C4" i="4"/>
  <c r="E3" i="4"/>
  <c r="C3" i="4"/>
  <c r="F13" i="4" l="1"/>
  <c r="F16" i="4"/>
  <c r="E24" i="4"/>
  <c r="E77" i="4"/>
  <c r="E78" i="4" s="1"/>
  <c r="D25" i="4"/>
  <c r="D26" i="4"/>
  <c r="D24" i="4"/>
  <c r="E25" i="4"/>
  <c r="H97" i="4"/>
  <c r="H123" i="4"/>
  <c r="F17" i="4"/>
  <c r="E26" i="4"/>
  <c r="G208" i="4"/>
  <c r="F12" i="4"/>
  <c r="D22" i="4"/>
  <c r="F15" i="4"/>
  <c r="E22" i="4"/>
  <c r="D77" i="4"/>
  <c r="H162" i="4"/>
  <c r="D21" i="4"/>
  <c r="B27" i="4"/>
  <c r="H50" i="4"/>
  <c r="H52" i="4" s="1"/>
  <c r="E21" i="4"/>
  <c r="E23" i="4"/>
  <c r="G77" i="4"/>
  <c r="H215" i="4"/>
  <c r="H171" i="4"/>
  <c r="G218" i="4"/>
  <c r="G201" i="4"/>
  <c r="G203" i="4" s="1"/>
  <c r="E10" i="4" l="1"/>
  <c r="F10" i="4" s="1"/>
  <c r="G78" i="4"/>
</calcChain>
</file>

<file path=xl/sharedStrings.xml><?xml version="1.0" encoding="utf-8"?>
<sst xmlns="http://schemas.openxmlformats.org/spreadsheetml/2006/main" count="3075" uniqueCount="217">
  <si>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</si>
  <si>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</si>
  <si>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</si>
  <si>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</si>
  <si>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</si>
  <si>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</si>
  <si>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</si>
  <si>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</si>
  <si>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</si>
  <si>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</si>
  <si>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</si>
  <si>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</si>
  <si>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</si>
  <si>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</si>
  <si>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</si>
  <si>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</si>
  <si>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</si>
  <si>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</si>
  <si>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</si>
  <si>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</si>
  <si>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</si>
  <si>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</si>
  <si>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</si>
  <si>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</si>
  <si>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</si>
  <si>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</si>
  <si>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</si>
  <si>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</si>
  <si>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</si>
  <si>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</si>
  <si>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</si>
  <si>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</si>
  <si>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</si>
  <si>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</si>
  <si>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</si>
  <si>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</si>
  <si>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Repurchase Payments</t>
  </si>
  <si>
    <t>Recoveries</t>
  </si>
  <si>
    <t>Net Liquidation Proceeds (includes Reallocation Payments and Net Auction Proceeds)</t>
  </si>
  <si>
    <t>Excess Wear and Tear and Excess Mileage</t>
  </si>
  <si>
    <t>Remaining Payoffs</t>
  </si>
  <si>
    <t>Net Insurance Proceeds</t>
  </si>
  <si>
    <t>Residual Value Surplus</t>
  </si>
  <si>
    <t>Total Collections</t>
  </si>
  <si>
    <t>Reallocation Payments and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</si>
  <si>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</si>
  <si>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t>Net Auction Proceeds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</si>
  <si>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</si>
  <si>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</si>
  <si>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</si>
  <si>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</si>
  <si>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</si>
  <si>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</si>
  <si>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</si>
  <si>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</si>
  <si>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</si>
  <si>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</si>
  <si>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</si>
  <si>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</si>
  <si>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</si>
  <si>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</si>
  <si>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</si>
  <si>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</si>
  <si>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</si>
  <si>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</si>
  <si>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</si>
  <si>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</si>
  <si>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</si>
  <si>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</si>
  <si>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</si>
  <si>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</si>
  <si>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</si>
  <si>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</si>
  <si>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</si>
  <si>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</si>
  <si>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</si>
  <si>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</si>
  <si>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</si>
  <si>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</si>
  <si>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</si>
  <si>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</si>
  <si>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</si>
  <si>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</si>
  <si>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</si>
  <si>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</si>
  <si>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</si>
  <si>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</si>
  <si>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</si>
  <si>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</si>
  <si>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</si>
  <si>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</si>
  <si>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</si>
  <si>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</si>
  <si>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</si>
  <si>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</si>
  <si>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</si>
  <si>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</si>
  <si>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</si>
  <si>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</si>
  <si>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</si>
  <si>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</si>
  <si>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</si>
  <si>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</si>
  <si>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</si>
  <si>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</si>
  <si>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</si>
  <si>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</si>
  <si>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</si>
  <si>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</si>
  <si>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</si>
  <si>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</si>
  <si>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</si>
  <si>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</si>
  <si>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</si>
  <si>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</si>
  <si>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</si>
  <si>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</si>
  <si>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</si>
  <si>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</si>
  <si>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</si>
  <si>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</si>
  <si>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</si>
  <si>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</si>
  <si>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</si>
  <si>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</si>
  <si>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</si>
  <si>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</si>
  <si>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</si>
  <si>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</si>
  <si>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</si>
  <si>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</si>
  <si>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</si>
  <si>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</si>
  <si>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</si>
  <si>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</si>
  <si>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</si>
  <si>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</si>
  <si>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</si>
  <si>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</si>
  <si>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</si>
  <si>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</si>
  <si>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</si>
  <si>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</si>
  <si>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</si>
  <si>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</si>
  <si>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</si>
  <si>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</si>
  <si>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</si>
  <si>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</si>
  <si>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</si>
  <si>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</si>
  <si>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</si>
  <si>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</si>
  <si>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</si>
  <si>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</si>
  <si>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</si>
  <si>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</si>
  <si>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</si>
  <si>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</si>
  <si>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</si>
  <si>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</si>
  <si>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</si>
  <si>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</si>
  <si>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</si>
  <si>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</si>
  <si>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</si>
  <si>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</si>
  <si>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</si>
  <si>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</si>
  <si>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</si>
  <si>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</si>
  <si>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</si>
  <si>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</si>
  <si>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</si>
  <si>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</si>
  <si>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</si>
  <si>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</si>
  <si>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</si>
  <si>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</si>
  <si>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</si>
  <si>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</si>
  <si>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Aggregate Sales Performance of Auctioned Vehicles</t>
  </si>
  <si>
    <t xml:space="preserve">  Sales Proceeds</t>
  </si>
  <si>
    <t xml:space="preserve">  Securitization Value</t>
  </si>
  <si>
    <t>Aggregate Residual Value Surplus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</si>
  <si>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</si>
  <si>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</si>
  <si>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</si>
  <si>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Value Surplus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</si>
  <si>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</si>
  <si>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</si>
  <si>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</si>
  <si>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</si>
  <si>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</si>
  <si>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</si>
  <si>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</si>
  <si>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</si>
  <si>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</si>
  <si>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</si>
  <si>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</si>
  <si>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</si>
  <si>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</si>
  <si>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</si>
  <si>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</si>
  <si>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</si>
  <si>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</si>
  <si>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</si>
  <si>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</si>
  <si>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</si>
  <si>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</si>
  <si>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</si>
  <si>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</si>
  <si>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</si>
  <si>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No</t>
  </si>
  <si>
    <t>NO</t>
  </si>
  <si>
    <t>Series Assets?</t>
  </si>
  <si>
    <t>Series Assets, or repurchases of Series Assets?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</si>
</sst>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8" x14ac:knownFonts="1"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1"/>
      <color indexed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sz val="10"/>
      <color indexed="17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6" fontId="2" fillId="0" borderId="0" xfId="0" quotePrefix="1" applyNumberFormat="1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5" fontId="4" fillId="0" borderId="0" xfId="0" applyNumberFormat="1" applyFont="1" applyAlignment="1">
      <alignment horizontal="left"/>
    </xf>
    <xf numFmtId="0" fontId="3" fillId="0" borderId="0" xfId="0" applyFont="1"/>
    <xf numFmtId="1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39" fontId="3" fillId="0" borderId="0" xfId="3" applyNumberFormat="1" applyFont="1" applyFill="1" applyBorder="1" applyAlignment="1"/>
    <xf numFmtId="39" fontId="7" fillId="0" borderId="0" xfId="3" applyNumberFormat="1" applyFont="1" applyFill="1" applyBorder="1" applyAlignment="1"/>
    <xf numFmtId="166" fontId="3" fillId="0" borderId="0" xfId="3" applyNumberFormat="1" applyFont="1" applyFill="1" applyBorder="1" applyAlignment="1">
      <alignment horizontal="center"/>
    </xf>
    <xf numFmtId="39" fontId="1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167" fontId="4" fillId="0" borderId="0" xfId="0" applyNumberFormat="1" applyFont="1"/>
    <xf numFmtId="165" fontId="1" fillId="0" borderId="0" xfId="0" applyNumberFormat="1" applyFont="1"/>
    <xf numFmtId="39" fontId="1" fillId="0" borderId="0" xfId="3" applyNumberFormat="1" applyFont="1" applyFill="1" applyBorder="1" applyAlignment="1"/>
    <xf numFmtId="0" fontId="3" fillId="0" borderId="1" xfId="0" applyFont="1" applyBorder="1" applyAlignment="1">
      <alignment horizontal="center" wrapText="1"/>
    </xf>
    <xf numFmtId="0" fontId="1" fillId="0" borderId="0" xfId="3" applyNumberFormat="1" applyFont="1" applyFill="1" applyBorder="1" applyAlignment="1">
      <alignment horizontal="right"/>
    </xf>
    <xf numFmtId="39" fontId="1" fillId="0" borderId="0" xfId="3" applyNumberFormat="1" applyFont="1" applyFill="1" applyBorder="1" applyAlignment="1">
      <alignment horizontal="right"/>
    </xf>
    <xf numFmtId="39" fontId="1" fillId="0" borderId="0" xfId="3" applyNumberFormat="1" applyFont="1" applyFill="1" applyAlignment="1"/>
    <xf numFmtId="0" fontId="1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9" fontId="7" fillId="0" borderId="0" xfId="3" applyNumberFormat="1" applyFont="1" applyFill="1" applyAlignment="1">
      <alignment horizontal="right"/>
    </xf>
    <xf numFmtId="39" fontId="1" fillId="0" borderId="0" xfId="1" applyNumberFormat="1" applyFont="1" applyFill="1" applyAlignment="1">
      <alignment horizontal="right"/>
    </xf>
    <xf numFmtId="39" fontId="7" fillId="0" borderId="1" xfId="3" applyNumberFormat="1" applyFont="1" applyFill="1" applyBorder="1" applyAlignment="1">
      <alignment horizontal="right"/>
    </xf>
    <xf numFmtId="39" fontId="1" fillId="0" borderId="1" xfId="1" applyNumberFormat="1" applyFont="1" applyFill="1" applyBorder="1" applyAlignment="1">
      <alignment horizontal="right"/>
    </xf>
    <xf numFmtId="39" fontId="3" fillId="0" borderId="0" xfId="3" applyNumberFormat="1" applyFont="1" applyFill="1" applyAlignment="1">
      <alignment horizontal="right"/>
    </xf>
    <xf numFmtId="39" fontId="3" fillId="0" borderId="0" xfId="1" applyNumberFormat="1" applyFont="1" applyFill="1" applyAlignment="1">
      <alignment horizontal="right"/>
    </xf>
    <xf numFmtId="39" fontId="1" fillId="0" borderId="0" xfId="3" applyNumberFormat="1" applyFont="1" applyFill="1" applyAlignment="1">
      <alignment horizontal="right"/>
    </xf>
    <xf numFmtId="39" fontId="11" fillId="0" borderId="0" xfId="1" applyNumberFormat="1" applyFont="1" applyFill="1" applyAlignment="1">
      <alignment horizontal="right"/>
    </xf>
    <xf numFmtId="43" fontId="1" fillId="0" borderId="0" xfId="3" applyFont="1" applyFill="1" applyBorder="1" applyAlignment="1"/>
    <xf numFmtId="39" fontId="4" fillId="0" borderId="0" xfId="3" applyNumberFormat="1" applyFont="1" applyFill="1" applyAlignment="1">
      <alignment horizontal="right"/>
    </xf>
    <xf numFmtId="43" fontId="1" fillId="0" borderId="0" xfId="0" applyNumberFormat="1" applyFont="1"/>
    <xf numFmtId="39" fontId="7" fillId="0" borderId="1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9" fontId="13" fillId="0" borderId="0" xfId="0" applyNumberFormat="1" applyFont="1" applyAlignment="1">
      <alignment horizontal="center"/>
    </xf>
    <xf numFmtId="43" fontId="4" fillId="0" borderId="0" xfId="3" applyFont="1" applyFill="1" applyAlignment="1"/>
    <xf numFmtId="43" fontId="4" fillId="0" borderId="0" xfId="3" applyFont="1" applyFill="1"/>
    <xf numFmtId="168" fontId="4" fillId="0" borderId="0" xfId="3" applyNumberFormat="1" applyFont="1" applyFill="1" applyAlignment="1">
      <alignment horizontal="right"/>
    </xf>
    <xf numFmtId="43" fontId="4" fillId="0" borderId="0" xfId="3" applyFont="1" applyFill="1" applyAlignment="1">
      <alignment horizontal="right"/>
    </xf>
    <xf numFmtId="43" fontId="4" fillId="0" borderId="1" xfId="3" applyFont="1" applyFill="1" applyBorder="1" applyAlignment="1"/>
    <xf numFmtId="43" fontId="3" fillId="0" borderId="0" xfId="3" applyFont="1" applyFill="1" applyAlignment="1"/>
    <xf numFmtId="43" fontId="3" fillId="0" borderId="2" xfId="3" applyFont="1" applyFill="1" applyBorder="1" applyAlignment="1"/>
    <xf numFmtId="168" fontId="3" fillId="0" borderId="2" xfId="3" applyNumberFormat="1" applyFont="1" applyFill="1" applyBorder="1" applyAlignment="1">
      <alignment horizontal="left" indent="1"/>
    </xf>
    <xf numFmtId="39" fontId="1" fillId="0" borderId="0" xfId="0" applyNumberFormat="1" applyFont="1" applyAlignment="1">
      <alignment horizontal="center"/>
    </xf>
    <xf numFmtId="43" fontId="5" fillId="0" borderId="0" xfId="3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68" fontId="7" fillId="0" borderId="0" xfId="3" applyNumberFormat="1" applyFont="1" applyFill="1"/>
    <xf numFmtId="43" fontId="7" fillId="0" borderId="0" xfId="3" applyFont="1" applyFill="1" applyAlignment="1"/>
    <xf numFmtId="169" fontId="7" fillId="0" borderId="0" xfId="4" applyNumberFormat="1" applyFont="1" applyFill="1" applyAlignment="1"/>
    <xf numFmtId="168" fontId="7" fillId="0" borderId="0" xfId="3" applyNumberFormat="1" applyFont="1" applyFill="1" applyAlignment="1">
      <alignment horizontal="center"/>
    </xf>
    <xf numFmtId="39" fontId="7" fillId="0" borderId="0" xfId="0" applyNumberFormat="1" applyFont="1" applyAlignment="1">
      <alignment horizontal="right"/>
    </xf>
    <xf numFmtId="0" fontId="7" fillId="0" borderId="0" xfId="0" applyFont="1"/>
    <xf numFmtId="37" fontId="7" fillId="0" borderId="0" xfId="3" applyNumberFormat="1" applyFont="1" applyFill="1" applyAlignment="1"/>
    <xf numFmtId="39" fontId="7" fillId="0" borderId="0" xfId="0" applyNumberFormat="1" applyFont="1"/>
    <xf numFmtId="168" fontId="1" fillId="0" borderId="0" xfId="0" applyNumberFormat="1" applyFont="1"/>
    <xf numFmtId="168" fontId="3" fillId="0" borderId="2" xfId="3" applyNumberFormat="1" applyFont="1" applyFill="1" applyBorder="1" applyAlignment="1">
      <alignment horizontal="center"/>
    </xf>
    <xf numFmtId="39" fontId="3" fillId="0" borderId="2" xfId="3" applyNumberFormat="1" applyFont="1" applyFill="1" applyBorder="1" applyAlignment="1">
      <alignment horizontal="right"/>
    </xf>
    <xf numFmtId="169" fontId="3" fillId="0" borderId="0" xfId="0" applyNumberFormat="1" applyFont="1"/>
    <xf numFmtId="6" fontId="14" fillId="0" borderId="0" xfId="0" quotePrefix="1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6" fontId="3" fillId="0" borderId="0" xfId="0" applyNumberFormat="1" applyFont="1" applyAlignment="1" applyProtection="1">
      <alignment horizontal="left" indent="1"/>
      <protection locked="0"/>
    </xf>
    <xf numFmtId="6" fontId="3" fillId="0" borderId="0" xfId="0" applyNumberFormat="1" applyFont="1" applyAlignment="1" applyProtection="1">
      <alignment horizontal="left" indent="2"/>
      <protection locked="0"/>
    </xf>
    <xf numFmtId="6" fontId="3" fillId="0" borderId="0" xfId="0" applyNumberFormat="1" applyFont="1" applyAlignment="1" applyProtection="1">
      <alignment horizontal="left" indent="3"/>
      <protection locked="0"/>
    </xf>
    <xf numFmtId="43" fontId="3" fillId="0" borderId="0" xfId="0" applyNumberFormat="1" applyFont="1"/>
    <xf numFmtId="6" fontId="14" fillId="0" borderId="0" xfId="0" applyNumberFormat="1" applyFont="1" applyAlignment="1" applyProtection="1">
      <alignment horizontal="left"/>
      <protection locked="0"/>
    </xf>
    <xf numFmtId="43" fontId="1" fillId="0" borderId="0" xfId="0" applyNumberFormat="1" applyFont="1" applyAlignment="1">
      <alignment horizontal="center"/>
    </xf>
    <xf numFmtId="39" fontId="3" fillId="0" borderId="0" xfId="3" applyNumberFormat="1" applyFont="1" applyFill="1" applyAlignment="1"/>
    <xf numFmtId="39" fontId="4" fillId="0" borderId="1" xfId="3" applyNumberFormat="1" applyFont="1" applyFill="1" applyBorder="1" applyAlignment="1"/>
    <xf numFmtId="39" fontId="4" fillId="0" borderId="0" xfId="3" applyNumberFormat="1" applyFont="1" applyFill="1" applyAlignment="1"/>
    <xf numFmtId="39" fontId="7" fillId="0" borderId="0" xfId="3" applyNumberFormat="1" applyFont="1" applyFill="1" applyAlignment="1"/>
    <xf numFmtId="39" fontId="3" fillId="0" borderId="1" xfId="0" applyNumberFormat="1" applyFont="1" applyBorder="1"/>
    <xf numFmtId="39" fontId="3" fillId="0" borderId="0" xfId="0" applyNumberFormat="1" applyFont="1"/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5" fillId="0" borderId="0" xfId="0" applyFont="1" applyAlignment="1">
      <alignment horizontal="left" indent="1"/>
    </xf>
    <xf numFmtId="43" fontId="15" fillId="0" borderId="0" xfId="1" applyFont="1" applyFill="1"/>
    <xf numFmtId="39" fontId="4" fillId="0" borderId="0" xfId="0" applyNumberFormat="1" applyFont="1"/>
    <xf numFmtId="9" fontId="4" fillId="0" borderId="0" xfId="0" applyNumberFormat="1" applyFont="1"/>
    <xf numFmtId="9" fontId="1" fillId="0" borderId="0" xfId="2" applyFont="1" applyFill="1"/>
    <xf numFmtId="165" fontId="1" fillId="0" borderId="0" xfId="4" applyNumberFormat="1" applyFont="1" applyFill="1" applyAlignment="1"/>
    <xf numFmtId="37" fontId="1" fillId="0" borderId="0" xfId="0" applyNumberFormat="1" applyFont="1"/>
    <xf numFmtId="170" fontId="3" fillId="0" borderId="0" xfId="4" applyNumberFormat="1" applyFont="1" applyFill="1" applyAlignment="1"/>
    <xf numFmtId="170" fontId="7" fillId="0" borderId="0" xfId="4" applyNumberFormat="1" applyFont="1" applyFill="1" applyAlignment="1"/>
    <xf numFmtId="43" fontId="5" fillId="0" borderId="0" xfId="3" applyFont="1" applyFill="1" applyAlignment="1">
      <alignment horizontal="center"/>
    </xf>
    <xf numFmtId="10" fontId="3" fillId="0" borderId="0" xfId="2" applyNumberFormat="1" applyFont="1" applyFill="1"/>
    <xf numFmtId="37" fontId="4" fillId="0" borderId="0" xfId="0" applyNumberFormat="1" applyFont="1"/>
    <xf numFmtId="39" fontId="4" fillId="0" borderId="1" xfId="0" applyNumberFormat="1" applyFont="1" applyBorder="1"/>
    <xf numFmtId="37" fontId="4" fillId="0" borderId="1" xfId="0" applyNumberFormat="1" applyFont="1" applyBorder="1"/>
    <xf numFmtId="37" fontId="3" fillId="0" borderId="0" xfId="0" applyNumberFormat="1" applyFont="1"/>
    <xf numFmtId="43" fontId="5" fillId="0" borderId="0" xfId="3" applyFont="1" applyAlignment="1">
      <alignment horizontal="center"/>
    </xf>
    <xf numFmtId="10" fontId="1" fillId="0" borderId="0" xfId="4" applyNumberFormat="1" applyFont="1" applyFill="1" applyAlignment="1"/>
    <xf numFmtId="10" fontId="1" fillId="0" borderId="0" xfId="0" applyNumberFormat="1" applyFont="1"/>
    <xf numFmtId="10" fontId="3" fillId="0" borderId="0" xfId="4" applyNumberFormat="1" applyFont="1" applyFill="1" applyAlignment="1"/>
    <xf numFmtId="0" fontId="3" fillId="0" borderId="0" xfId="5" applyFont="1" applyAlignment="1">
      <alignment horizontal="left" indent="1"/>
    </xf>
    <xf numFmtId="43" fontId="4" fillId="0" borderId="0" xfId="1" applyFont="1" applyFill="1" applyAlignment="1"/>
    <xf numFmtId="10" fontId="3" fillId="0" borderId="0" xfId="4" applyNumberFormat="1" applyFont="1" applyFill="1" applyAlignment="1">
      <alignment horizontal="right"/>
    </xf>
    <xf numFmtId="43" fontId="1" fillId="0" borderId="0" xfId="3" applyFont="1" applyFill="1" applyAlignment="1"/>
    <xf numFmtId="37" fontId="7" fillId="0" borderId="0" xfId="0" applyNumberFormat="1" applyFont="1"/>
    <xf numFmtId="39" fontId="3" fillId="0" borderId="3" xfId="0" applyNumberFormat="1" applyFont="1" applyBorder="1"/>
    <xf numFmtId="43" fontId="1" fillId="0" borderId="0" xfId="3" applyFont="1" applyFill="1"/>
    <xf numFmtId="43" fontId="1" fillId="0" borderId="0" xfId="3" applyFont="1" applyFill="1" applyBorder="1"/>
    <xf numFmtId="0" fontId="17" fillId="0" borderId="0" xfId="0" applyFont="1"/>
    <xf numFmtId="0" fontId="3" fillId="0" borderId="0" xfId="0" applyFont="1" applyAlignment="1">
      <alignment horizontal="right"/>
    </xf>
  </cellXfs>
  <cellStyles count="6">
    <cellStyle name="Comma" xfId="1" builtinId="3"/>
    <cellStyle name="Comma 2" xfId="3" xr:uid="{00000000-0005-0000-0000-000001000000}"/>
    <cellStyle name="Normal" xfId="0" builtinId="0"/>
    <cellStyle name="Normal_Report_1" xfId="5" xr:uid="{00000000-0005-0000-0000-000003000000}"/>
    <cellStyle name="Percent" xfId="2" builtinId="5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QPDBABSLSE\Output%20Reports\2022%20L-Outputs\4%20-%20April%202022\NALT-21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TREASURY\EXCEL\NALT%2021-A\ABS\NALT%2021-A%20Oct'22.xlsx" TargetMode="External"/><Relationship Id="rId1" Type="http://schemas.openxmlformats.org/officeDocument/2006/relationships/externalLinkPath" Target="/TREASURY/EXCEL/NALT%2021-A/ABS/NALT%2021-A%20Oct'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TREASURY\EXCEL\NALT%2021-A\ABS\NALT%2021-A%20Nov'22.xlsx" TargetMode="External"/><Relationship Id="rId1" Type="http://schemas.openxmlformats.org/officeDocument/2006/relationships/externalLinkPath" Target="/TREASURY/EXCEL/NALT%2021-A/ABS/NALT%2021-A%20Nov'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TREASURY\EXCEL\NALT%2021-A\ABS\NALT%2021-A%20Dec'22.xlsx" TargetMode="External"/><Relationship Id="rId1" Type="http://schemas.openxmlformats.org/officeDocument/2006/relationships/externalLinkPath" Target="/TREASURY/EXCEL/NALT%2021-A/ABS/NALT%2021-A%20Dec'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5042_Book_DELQ_60_PLUS_AMT</v>
          </cell>
          <cell r="D2">
            <v>1448043.31</v>
          </cell>
          <cell r="F2" t="str">
            <v>N</v>
          </cell>
        </row>
        <row r="3">
          <cell r="B3" t="str">
            <v>5042_DAILY_REMIT</v>
          </cell>
          <cell r="D3">
            <v>33898997.460000001</v>
          </cell>
          <cell r="F3" t="str">
            <v>N</v>
          </cell>
        </row>
        <row r="4">
          <cell r="B4" t="str">
            <v>5042_DELQ_121_PLUS_AMT</v>
          </cell>
          <cell r="D4">
            <v>67942.37</v>
          </cell>
          <cell r="F4" t="str">
            <v>N</v>
          </cell>
        </row>
        <row r="5">
          <cell r="B5" t="str">
            <v>5042_DELQ_121_PLUS_CNT</v>
          </cell>
          <cell r="D5">
            <v>3</v>
          </cell>
          <cell r="F5" t="str">
            <v>N</v>
          </cell>
        </row>
        <row r="6">
          <cell r="B6" t="str">
            <v>5042_DELQ_31_60_AMT</v>
          </cell>
          <cell r="D6">
            <v>3155652.85</v>
          </cell>
          <cell r="F6" t="str">
            <v>N</v>
          </cell>
        </row>
        <row r="7">
          <cell r="B7" t="str">
            <v>5042_DELQ_31_60_CNT</v>
          </cell>
          <cell r="D7">
            <v>148</v>
          </cell>
          <cell r="F7" t="str">
            <v>N</v>
          </cell>
        </row>
        <row r="8">
          <cell r="B8" t="str">
            <v>5042_DELQ_60_PLUS_AMT</v>
          </cell>
          <cell r="D8">
            <v>1301178.6100000001</v>
          </cell>
          <cell r="F8" t="str">
            <v>N</v>
          </cell>
        </row>
        <row r="9">
          <cell r="B9" t="str">
            <v>5042_DELQ_60_PLUS_CNT</v>
          </cell>
          <cell r="D9">
            <v>58</v>
          </cell>
          <cell r="F9" t="str">
            <v>N</v>
          </cell>
        </row>
        <row r="10">
          <cell r="B10" t="str">
            <v>5042_DELQ_61_90_AMT</v>
          </cell>
          <cell r="D10">
            <v>725987.51</v>
          </cell>
          <cell r="F10" t="str">
            <v>N</v>
          </cell>
        </row>
        <row r="11">
          <cell r="B11" t="str">
            <v>5042_DELQ_61_90_CNT</v>
          </cell>
          <cell r="D11">
            <v>34</v>
          </cell>
          <cell r="F11" t="str">
            <v>N</v>
          </cell>
        </row>
        <row r="12">
          <cell r="B12" t="str">
            <v>5042_DELQ_91_120_AMT</v>
          </cell>
          <cell r="D12">
            <v>324870.99</v>
          </cell>
          <cell r="F12" t="str">
            <v>N</v>
          </cell>
        </row>
        <row r="13">
          <cell r="B13" t="str">
            <v>5042_DELQ_91_120_CNT</v>
          </cell>
          <cell r="D13">
            <v>13</v>
          </cell>
          <cell r="F13" t="str">
            <v>N</v>
          </cell>
        </row>
        <row r="14">
          <cell r="B14" t="str">
            <v>5042_FLOATING_RATE</v>
          </cell>
          <cell r="D14">
            <v>0</v>
          </cell>
          <cell r="F14" t="str">
            <v>N</v>
          </cell>
        </row>
        <row r="15">
          <cell r="B15" t="str">
            <v>5042_NET_INS_PROCEEDS</v>
          </cell>
          <cell r="D15">
            <v>-5925.52</v>
          </cell>
          <cell r="F15" t="str">
            <v>N</v>
          </cell>
        </row>
        <row r="16">
          <cell r="B16" t="str">
            <v>5042_PRIOR_PD_ADJ</v>
          </cell>
          <cell r="D16">
            <v>0</v>
          </cell>
          <cell r="F16" t="str">
            <v>N</v>
          </cell>
        </row>
        <row r="17">
          <cell r="B17" t="str">
            <v>5042_sec_value</v>
          </cell>
          <cell r="D17">
            <v>1020300469.38</v>
          </cell>
          <cell r="F17" t="str">
            <v>N</v>
          </cell>
        </row>
        <row r="18">
          <cell r="B18" t="str">
            <v>5042_SETTLEMNT_ADJ</v>
          </cell>
          <cell r="D18">
            <v>0</v>
          </cell>
          <cell r="F18" t="str">
            <v>N</v>
          </cell>
        </row>
        <row r="19">
          <cell r="B19" t="str">
            <v>COLL_ADV_PAY</v>
          </cell>
          <cell r="D19">
            <v>634372.41</v>
          </cell>
          <cell r="F19" t="str">
            <v>N</v>
          </cell>
        </row>
        <row r="20">
          <cell r="B20" t="str">
            <v>COLL_ADV_SALES</v>
          </cell>
          <cell r="D20">
            <v>320416.5</v>
          </cell>
          <cell r="F20" t="str">
            <v>N</v>
          </cell>
        </row>
        <row r="21">
          <cell r="B21" t="str">
            <v>COLL_AUCTION</v>
          </cell>
          <cell r="D21">
            <v>-954</v>
          </cell>
          <cell r="F21" t="str">
            <v>N</v>
          </cell>
        </row>
        <row r="22">
          <cell r="B22" t="str">
            <v>COLL_END_DATE</v>
          </cell>
          <cell r="D22">
            <v>0</v>
          </cell>
          <cell r="E22">
            <v>44681</v>
          </cell>
          <cell r="F22" t="str">
            <v>D</v>
          </cell>
        </row>
        <row r="23">
          <cell r="B23" t="str">
            <v>COLL_EXCESS_MILE</v>
          </cell>
          <cell r="D23">
            <v>0</v>
          </cell>
          <cell r="F23" t="str">
            <v>N</v>
          </cell>
        </row>
        <row r="24">
          <cell r="B24" t="str">
            <v>COLL_INSURANCE</v>
          </cell>
          <cell r="D24">
            <v>-1040201.97</v>
          </cell>
          <cell r="F24" t="str">
            <v>N</v>
          </cell>
        </row>
        <row r="25">
          <cell r="B25" t="str">
            <v>COLL_LEASE_INT</v>
          </cell>
          <cell r="D25">
            <v>5143689.84</v>
          </cell>
          <cell r="F25" t="str">
            <v>N</v>
          </cell>
        </row>
        <row r="26">
          <cell r="B26" t="str">
            <v>COLL_LEASE_PRIN</v>
          </cell>
          <cell r="D26">
            <v>13297961.810000001</v>
          </cell>
          <cell r="F26" t="str">
            <v>N</v>
          </cell>
        </row>
        <row r="27">
          <cell r="B27" t="str">
            <v>COLL_LIQUID</v>
          </cell>
          <cell r="D27">
            <v>-13003618.82</v>
          </cell>
          <cell r="F27" t="str">
            <v>N</v>
          </cell>
        </row>
        <row r="28">
          <cell r="B28" t="str">
            <v>COLL_REALLOC</v>
          </cell>
          <cell r="D28">
            <v>719828</v>
          </cell>
          <cell r="F28" t="str">
            <v>N</v>
          </cell>
        </row>
        <row r="29">
          <cell r="B29" t="str">
            <v>COLL_RECOVER</v>
          </cell>
          <cell r="D29">
            <v>954</v>
          </cell>
          <cell r="F29" t="str">
            <v>N</v>
          </cell>
        </row>
        <row r="30">
          <cell r="B30" t="str">
            <v>COLL_REMAINING_PAYOFF</v>
          </cell>
          <cell r="D30">
            <v>0</v>
          </cell>
          <cell r="F30" t="str">
            <v>N</v>
          </cell>
        </row>
        <row r="31">
          <cell r="B31" t="str">
            <v>COLL_REPURCH</v>
          </cell>
          <cell r="D31">
            <v>0</v>
          </cell>
          <cell r="F31" t="str">
            <v>N</v>
          </cell>
        </row>
        <row r="32">
          <cell r="B32" t="str">
            <v>COLL_RESIDUAL</v>
          </cell>
          <cell r="D32">
            <v>-95168.5</v>
          </cell>
          <cell r="F32" t="str">
            <v>N</v>
          </cell>
        </row>
        <row r="33">
          <cell r="B33" t="str">
            <v>COLL_TO_RESERVE_TRANSFER</v>
          </cell>
          <cell r="D33">
            <v>0</v>
          </cell>
          <cell r="F33" t="str">
            <v>N</v>
          </cell>
        </row>
        <row r="34">
          <cell r="B34" t="str">
            <v>DISP_ADJ</v>
          </cell>
          <cell r="D34">
            <v>0</v>
          </cell>
          <cell r="F34" t="str">
            <v>N</v>
          </cell>
        </row>
        <row r="35">
          <cell r="B35" t="str">
            <v>DISP_ADJ_CNT</v>
          </cell>
          <cell r="D35">
            <v>0</v>
          </cell>
          <cell r="F35" t="str">
            <v>N</v>
          </cell>
        </row>
        <row r="36">
          <cell r="B36" t="str">
            <v>DISP_BANKRUPT</v>
          </cell>
          <cell r="D36">
            <v>27447</v>
          </cell>
          <cell r="F36" t="str">
            <v>N</v>
          </cell>
        </row>
        <row r="37">
          <cell r="B37" t="str">
            <v>DISP_BANKRUPT_CNT</v>
          </cell>
          <cell r="D37">
            <v>1</v>
          </cell>
          <cell r="F37" t="str">
            <v>N</v>
          </cell>
        </row>
        <row r="38">
          <cell r="B38" t="str">
            <v>DISP_CUSTOMER</v>
          </cell>
          <cell r="D38">
            <v>162821.67000000001</v>
          </cell>
          <cell r="F38" t="str">
            <v>N</v>
          </cell>
        </row>
        <row r="39">
          <cell r="B39" t="str">
            <v>DISP_CUSTOMER_CNT</v>
          </cell>
          <cell r="D39">
            <v>7</v>
          </cell>
          <cell r="F39" t="str">
            <v>N</v>
          </cell>
        </row>
        <row r="40">
          <cell r="B40" t="str">
            <v>DISP_DEALER_PURCH</v>
          </cell>
          <cell r="D40">
            <v>0</v>
          </cell>
          <cell r="F40" t="str">
            <v>N</v>
          </cell>
        </row>
        <row r="41">
          <cell r="B41" t="str">
            <v>DISP_DEALER_PURCH_CNT</v>
          </cell>
          <cell r="D41">
            <v>0</v>
          </cell>
          <cell r="F41" t="str">
            <v>N</v>
          </cell>
        </row>
        <row r="42">
          <cell r="B42" t="str">
            <v>DISP_EARLY_TERM</v>
          </cell>
          <cell r="D42">
            <v>593094</v>
          </cell>
          <cell r="F42" t="str">
            <v>N</v>
          </cell>
        </row>
        <row r="43">
          <cell r="B43" t="str">
            <v>DISP_EARLY_TERM_CNT</v>
          </cell>
          <cell r="D43">
            <v>20</v>
          </cell>
          <cell r="F43" t="str">
            <v>N</v>
          </cell>
        </row>
        <row r="44">
          <cell r="B44" t="str">
            <v>DISP_FULL_TERM</v>
          </cell>
          <cell r="D44">
            <v>0</v>
          </cell>
          <cell r="F44" t="str">
            <v>N</v>
          </cell>
        </row>
        <row r="45">
          <cell r="B45" t="str">
            <v>DISP_FULL_TERM_CNT</v>
          </cell>
          <cell r="D45">
            <v>0</v>
          </cell>
          <cell r="F45" t="str">
            <v>N</v>
          </cell>
        </row>
        <row r="46">
          <cell r="B46" t="str">
            <v>DISP_GROUNDING_DEALER</v>
          </cell>
          <cell r="D46">
            <v>12809677.470000001</v>
          </cell>
          <cell r="F46" t="str">
            <v>N</v>
          </cell>
        </row>
        <row r="47">
          <cell r="B47" t="str">
            <v>DISP_GROUNDING_DEALER_CNT</v>
          </cell>
          <cell r="D47">
            <v>529</v>
          </cell>
          <cell r="F47" t="str">
            <v>N</v>
          </cell>
        </row>
        <row r="48">
          <cell r="B48" t="str">
            <v>DISP_INSURANCE</v>
          </cell>
          <cell r="D48">
            <v>1716689.13</v>
          </cell>
          <cell r="F48" t="str">
            <v>N</v>
          </cell>
        </row>
        <row r="49">
          <cell r="B49" t="str">
            <v>DISP_INSURANCE_cnt</v>
          </cell>
          <cell r="D49">
            <v>64</v>
          </cell>
          <cell r="F49" t="str">
            <v>N</v>
          </cell>
        </row>
        <row r="50">
          <cell r="B50" t="str">
            <v>DISP_INVOL_REPO</v>
          </cell>
          <cell r="D50">
            <v>56178</v>
          </cell>
          <cell r="F50" t="str">
            <v>N</v>
          </cell>
        </row>
        <row r="51">
          <cell r="B51" t="str">
            <v>DISP_INVOL_REPO_CNT</v>
          </cell>
          <cell r="D51">
            <v>3</v>
          </cell>
          <cell r="F51" t="str">
            <v>N</v>
          </cell>
        </row>
        <row r="52">
          <cell r="B52" t="str">
            <v>DISP_REV_CANCELS_CNT</v>
          </cell>
          <cell r="D52">
            <v>0</v>
          </cell>
          <cell r="F52" t="str">
            <v>N</v>
          </cell>
        </row>
        <row r="53">
          <cell r="B53" t="str">
            <v>DISP_REVERSALS_CANCELS</v>
          </cell>
          <cell r="D53">
            <v>0</v>
          </cell>
          <cell r="F53" t="str">
            <v>N</v>
          </cell>
        </row>
        <row r="54">
          <cell r="B54" t="str">
            <v>DISP_VOL_REPO</v>
          </cell>
          <cell r="D54">
            <v>43109</v>
          </cell>
          <cell r="F54" t="str">
            <v>N</v>
          </cell>
        </row>
        <row r="55">
          <cell r="B55" t="str">
            <v>DISP_VOL_REPO_CNT</v>
          </cell>
          <cell r="D55">
            <v>3</v>
          </cell>
          <cell r="F55" t="str">
            <v>N</v>
          </cell>
        </row>
        <row r="56">
          <cell r="B56" t="str">
            <v>DISTRIBUTION_DATE</v>
          </cell>
          <cell r="D56">
            <v>0</v>
          </cell>
          <cell r="E56">
            <v>44697</v>
          </cell>
          <cell r="F56" t="str">
            <v>D</v>
          </cell>
        </row>
        <row r="57">
          <cell r="B57" t="str">
            <v>EARNING_YIELD_SUPPLEMENT</v>
          </cell>
          <cell r="D57">
            <v>0</v>
          </cell>
          <cell r="F57" t="str">
            <v>N</v>
          </cell>
        </row>
        <row r="58">
          <cell r="B58" t="str">
            <v>EVENT_DEFAULT_A</v>
          </cell>
          <cell r="C58" t="str">
            <v>NO</v>
          </cell>
          <cell r="D58">
            <v>0</v>
          </cell>
          <cell r="F58" t="str">
            <v>C</v>
          </cell>
        </row>
        <row r="59">
          <cell r="B59" t="str">
            <v>FEE_INDENTURE_TRUSTEE</v>
          </cell>
          <cell r="D59">
            <v>0</v>
          </cell>
          <cell r="F59" t="str">
            <v>N</v>
          </cell>
        </row>
        <row r="60">
          <cell r="B60" t="str">
            <v>HIGHEST_REM_TERM</v>
          </cell>
          <cell r="D60">
            <v>40</v>
          </cell>
          <cell r="F60" t="str">
            <v>N</v>
          </cell>
        </row>
        <row r="61">
          <cell r="B61" t="str">
            <v>INT_COLL_ACCT</v>
          </cell>
          <cell r="D61">
            <v>267.61</v>
          </cell>
          <cell r="F61" t="str">
            <v>N</v>
          </cell>
        </row>
        <row r="62">
          <cell r="B62" t="str">
            <v>INT_RATE_CAP_RECEIPTS</v>
          </cell>
          <cell r="D62">
            <v>0</v>
          </cell>
          <cell r="F62" t="str">
            <v>N</v>
          </cell>
        </row>
        <row r="63">
          <cell r="B63" t="str">
            <v>INT_RESERVE_ACCT</v>
          </cell>
          <cell r="D63">
            <v>0</v>
          </cell>
          <cell r="F63" t="str">
            <v>N</v>
          </cell>
        </row>
        <row r="64">
          <cell r="B64" t="str">
            <v>PI_ADV</v>
          </cell>
          <cell r="D64">
            <v>0</v>
          </cell>
          <cell r="F64" t="str">
            <v>N</v>
          </cell>
        </row>
        <row r="65">
          <cell r="B65" t="str">
            <v>POOL_BALANCE_END_BOOK</v>
          </cell>
          <cell r="D65">
            <v>1170301690.3599999</v>
          </cell>
          <cell r="F65" t="str">
            <v>N</v>
          </cell>
        </row>
        <row r="66">
          <cell r="B66" t="str">
            <v>POOL_BALANCE_END_CNT</v>
          </cell>
          <cell r="D66">
            <v>50045</v>
          </cell>
          <cell r="F66" t="str">
            <v>N</v>
          </cell>
        </row>
        <row r="67">
          <cell r="B67" t="str">
            <v>POOL_BALANCE_END_SEC_VAL</v>
          </cell>
          <cell r="D67">
            <v>1020300469.38</v>
          </cell>
          <cell r="F67" t="str">
            <v>N</v>
          </cell>
        </row>
        <row r="68">
          <cell r="B68" t="str">
            <v>POOL_CREDIT_LOSS_NETBOOK</v>
          </cell>
          <cell r="D68">
            <v>289550.73</v>
          </cell>
          <cell r="F68" t="str">
            <v>N</v>
          </cell>
        </row>
        <row r="69">
          <cell r="B69" t="str">
            <v>POOL_CREDIT_LOSS_SEC_VAL</v>
          </cell>
          <cell r="D69">
            <v>266874.26</v>
          </cell>
          <cell r="F69" t="str">
            <v>N</v>
          </cell>
        </row>
        <row r="70">
          <cell r="B70" t="str">
            <v>POOL_DISC_RATE</v>
          </cell>
          <cell r="D70">
            <v>7.0000000000000007E-2</v>
          </cell>
          <cell r="F70" t="str">
            <v>N</v>
          </cell>
        </row>
        <row r="71">
          <cell r="B71" t="str">
            <v>POOL_EARLY_TERM_BOOK</v>
          </cell>
          <cell r="D71">
            <v>0</v>
          </cell>
          <cell r="F71" t="str">
            <v>N</v>
          </cell>
        </row>
        <row r="72">
          <cell r="B72" t="str">
            <v>POOL_EARLY_TERM_CNT</v>
          </cell>
          <cell r="D72">
            <v>0</v>
          </cell>
          <cell r="F72" t="str">
            <v>N</v>
          </cell>
        </row>
        <row r="73">
          <cell r="B73" t="str">
            <v>POOL_EARLY_TERM_SEC_VAL</v>
          </cell>
          <cell r="D73">
            <v>0</v>
          </cell>
          <cell r="F73" t="str">
            <v>N</v>
          </cell>
        </row>
        <row r="74">
          <cell r="B74" t="str">
            <v>POOL_LEASE_PAY_SEC_VAL</v>
          </cell>
          <cell r="D74">
            <v>300300427.41000003</v>
          </cell>
          <cell r="F74" t="str">
            <v>N</v>
          </cell>
        </row>
        <row r="75">
          <cell r="B75" t="str">
            <v>POOL_LOSS_DEF_BOOK</v>
          </cell>
          <cell r="D75">
            <v>1737574.58</v>
          </cell>
          <cell r="F75" t="str">
            <v>N</v>
          </cell>
        </row>
        <row r="76">
          <cell r="B76" t="str">
            <v>POOL_LOSS_DEF_CNT</v>
          </cell>
          <cell r="D76">
            <v>75</v>
          </cell>
          <cell r="F76" t="str">
            <v>N</v>
          </cell>
        </row>
        <row r="77">
          <cell r="B77" t="str">
            <v>POOL_LOSS_DEF_REC</v>
          </cell>
          <cell r="D77">
            <v>1869958.31</v>
          </cell>
          <cell r="F77" t="str">
            <v>N</v>
          </cell>
        </row>
        <row r="78">
          <cell r="B78" t="str">
            <v>POOL_LOSS_DEF_SEC_VAL</v>
          </cell>
          <cell r="D78">
            <v>1551557.19</v>
          </cell>
          <cell r="F78" t="str">
            <v>N</v>
          </cell>
        </row>
        <row r="79">
          <cell r="B79" t="str">
            <v>POOL_LOSS_SALES_AMT</v>
          </cell>
          <cell r="D79">
            <v>-593094</v>
          </cell>
          <cell r="F79" t="str">
            <v>N</v>
          </cell>
        </row>
        <row r="80">
          <cell r="B80" t="str">
            <v>POOL_LOSS_SALES_CNT</v>
          </cell>
          <cell r="D80">
            <v>20</v>
          </cell>
          <cell r="F80" t="str">
            <v>N</v>
          </cell>
        </row>
        <row r="81">
          <cell r="B81" t="str">
            <v>POOL_LOSS_SALES_SEC_VAL</v>
          </cell>
          <cell r="D81">
            <v>501425.67</v>
          </cell>
          <cell r="F81" t="str">
            <v>N</v>
          </cell>
        </row>
        <row r="82">
          <cell r="B82" t="str">
            <v>POOL_PPY_LIFETIME</v>
          </cell>
          <cell r="D82">
            <v>0</v>
          </cell>
          <cell r="F82" t="str">
            <v>N</v>
          </cell>
        </row>
        <row r="83">
          <cell r="B83" t="str">
            <v>POOL_PPY_MO</v>
          </cell>
          <cell r="D83">
            <v>0</v>
          </cell>
          <cell r="F83" t="str">
            <v>N</v>
          </cell>
        </row>
        <row r="84">
          <cell r="B84" t="str">
            <v>POOL_REPURCH_BOOK</v>
          </cell>
          <cell r="D84">
            <v>0</v>
          </cell>
          <cell r="F84" t="str">
            <v>N</v>
          </cell>
        </row>
        <row r="85">
          <cell r="B85" t="str">
            <v>POOL_REPURCH_CNT</v>
          </cell>
          <cell r="D85">
            <v>0</v>
          </cell>
          <cell r="F85" t="str">
            <v>N</v>
          </cell>
        </row>
        <row r="86">
          <cell r="B86" t="str">
            <v>POOL_REPURCH_SEC_VAL</v>
          </cell>
          <cell r="D86">
            <v>0</v>
          </cell>
          <cell r="F86" t="str">
            <v>N</v>
          </cell>
        </row>
        <row r="87">
          <cell r="B87" t="str">
            <v>POOL_RESIDUAL_SEC_VAL</v>
          </cell>
          <cell r="D87">
            <v>720000041.97000003</v>
          </cell>
          <cell r="F87" t="str">
            <v>N</v>
          </cell>
        </row>
        <row r="88">
          <cell r="B88" t="str">
            <v>POOL_SCH_TERM_BOOK</v>
          </cell>
          <cell r="D88">
            <v>13316018.779999999</v>
          </cell>
          <cell r="F88" t="str">
            <v>N</v>
          </cell>
        </row>
        <row r="89">
          <cell r="B89" t="str">
            <v>POOL_SCH_TERM_CNT</v>
          </cell>
          <cell r="D89">
            <v>554</v>
          </cell>
          <cell r="F89" t="str">
            <v>N</v>
          </cell>
        </row>
        <row r="90">
          <cell r="B90" t="str">
            <v>POOL_SCH_TERM_SEC_VAL</v>
          </cell>
          <cell r="D90">
            <v>11724161.27</v>
          </cell>
          <cell r="F90" t="str">
            <v>N</v>
          </cell>
        </row>
        <row r="91">
          <cell r="B91" t="str">
            <v>POOL_TOT_DEPREC_BOOK</v>
          </cell>
          <cell r="D91">
            <v>16310458.199999999</v>
          </cell>
          <cell r="F91" t="str">
            <v>N</v>
          </cell>
        </row>
        <row r="92">
          <cell r="B92" t="str">
            <v>POOL_TOT_DEPREC_SEC_VAL</v>
          </cell>
          <cell r="D92">
            <v>12776086.98</v>
          </cell>
          <cell r="F92" t="str">
            <v>N</v>
          </cell>
        </row>
        <row r="93">
          <cell r="B93" t="str">
            <v>POOL_WAM</v>
          </cell>
          <cell r="D93">
            <v>17.07</v>
          </cell>
          <cell r="F93" t="str">
            <v>N</v>
          </cell>
        </row>
        <row r="94">
          <cell r="B94" t="str">
            <v>REIMBURSE_ADV_PAY</v>
          </cell>
          <cell r="D94">
            <v>-411121.61</v>
          </cell>
          <cell r="F94" t="str">
            <v>N</v>
          </cell>
        </row>
        <row r="95">
          <cell r="B95" t="str">
            <v>REIMBURSE_ADV_SALES</v>
          </cell>
          <cell r="D95">
            <v>361502.6</v>
          </cell>
          <cell r="F95" t="str">
            <v>N</v>
          </cell>
        </row>
        <row r="96">
          <cell r="B96" t="str">
            <v>RELEASE_ADJ</v>
          </cell>
          <cell r="D96">
            <v>0</v>
          </cell>
          <cell r="F96" t="str">
            <v>N</v>
          </cell>
        </row>
        <row r="97">
          <cell r="B97" t="str">
            <v>RESERVE_ADDL_CASH</v>
          </cell>
          <cell r="D97">
            <v>0</v>
          </cell>
          <cell r="F97" t="str">
            <v>N</v>
          </cell>
        </row>
        <row r="98">
          <cell r="B98" t="str">
            <v>RESERVE_INC</v>
          </cell>
          <cell r="D98">
            <v>49.9</v>
          </cell>
          <cell r="F98" t="str">
            <v>N</v>
          </cell>
        </row>
        <row r="99">
          <cell r="B99" t="str">
            <v>RESERVE_TO_COLL_TRANSFER</v>
          </cell>
          <cell r="D99">
            <v>0</v>
          </cell>
          <cell r="F99" t="str">
            <v>N</v>
          </cell>
        </row>
        <row r="100">
          <cell r="B100" t="str">
            <v>RESERVE_TO_NNA_TRANSFER</v>
          </cell>
          <cell r="D100">
            <v>0</v>
          </cell>
          <cell r="F100" t="str">
            <v>N</v>
          </cell>
        </row>
        <row r="101">
          <cell r="B101" t="str">
            <v>STMNT_TO_NOTEHLD_1</v>
          </cell>
          <cell r="C101" t="str">
            <v>NO</v>
          </cell>
          <cell r="D101">
            <v>0</v>
          </cell>
          <cell r="F101" t="str">
            <v>N</v>
          </cell>
        </row>
        <row r="102">
          <cell r="B102" t="str">
            <v>STMNT_TO_NOTEHLD_2</v>
          </cell>
          <cell r="C102" t="str">
            <v>NO</v>
          </cell>
          <cell r="D102">
            <v>0</v>
          </cell>
          <cell r="F102" t="str">
            <v>N</v>
          </cell>
        </row>
        <row r="103">
          <cell r="B103" t="str">
            <v>STMNT_TO_NOTEHLD_3</v>
          </cell>
          <cell r="C103" t="str">
            <v>NO</v>
          </cell>
          <cell r="D103">
            <v>0</v>
          </cell>
          <cell r="F103" t="str">
            <v>N</v>
          </cell>
        </row>
        <row r="104">
          <cell r="B104" t="str">
            <v>STMNT_TO_NOTEHLD_4</v>
          </cell>
          <cell r="C104" t="str">
            <v>NO</v>
          </cell>
          <cell r="D104">
            <v>0</v>
          </cell>
          <cell r="F104" t="str">
            <v>N</v>
          </cell>
        </row>
        <row r="105">
          <cell r="B105" t="str">
            <v>STMNT_TO_NOTEHLD_5</v>
          </cell>
          <cell r="C105" t="str">
            <v>NO</v>
          </cell>
          <cell r="D105">
            <v>0</v>
          </cell>
          <cell r="F105" t="str">
            <v>N</v>
          </cell>
        </row>
        <row r="106">
          <cell r="B106" t="str">
            <v>STMNT_TO_NOTEHLD_6</v>
          </cell>
          <cell r="C106" t="str">
            <v>NO</v>
          </cell>
          <cell r="D106">
            <v>0</v>
          </cell>
          <cell r="F106" t="str">
            <v>N</v>
          </cell>
        </row>
        <row r="107">
          <cell r="B107" t="str">
            <v>_KeyABSID</v>
          </cell>
          <cell r="C107" t="str">
            <v>L21A</v>
          </cell>
          <cell r="F107" t="str">
            <v>C</v>
          </cell>
        </row>
        <row r="108">
          <cell r="B108" t="str">
            <v>_KeyDate</v>
          </cell>
          <cell r="E108">
            <v>44681</v>
          </cell>
          <cell r="F108" t="str">
            <v>D</v>
          </cell>
        </row>
        <row r="109">
          <cell r="B109" t="str">
            <v>_KeyPeriod</v>
          </cell>
          <cell r="D109">
            <v>6</v>
          </cell>
          <cell r="F109" t="str">
            <v>N</v>
          </cell>
        </row>
      </sheetData>
      <sheetData sheetId="1"/>
      <sheetData sheetId="2"/>
      <sheetData sheetId="3">
        <row r="1">
          <cell r="A1" t="str">
            <v>dataname</v>
          </cell>
          <cell r="B1" t="str">
            <v>cvalue</v>
          </cell>
          <cell r="C1" t="str">
            <v>nvalue</v>
          </cell>
        </row>
        <row r="2">
          <cell r="A2" t="str">
            <v>BAL_ADV_PAY</v>
          </cell>
          <cell r="C2">
            <v>0</v>
          </cell>
        </row>
        <row r="3">
          <cell r="A3" t="str">
            <v>BAL_ADV_SALES</v>
          </cell>
          <cell r="C3">
            <v>0</v>
          </cell>
        </row>
        <row r="4">
          <cell r="A4" t="str">
            <v>COLL_END_DATE</v>
          </cell>
        </row>
        <row r="5">
          <cell r="A5" t="str">
            <v>5042_COLLATERAL_BALANCE</v>
          </cell>
          <cell r="C5">
            <v>1197605445.04</v>
          </cell>
        </row>
        <row r="6">
          <cell r="A6" t="str">
            <v>CUM_LOSS_DEF_AMT</v>
          </cell>
          <cell r="C6">
            <v>0</v>
          </cell>
        </row>
        <row r="7">
          <cell r="A7" t="str">
            <v>CUM_LOSS_SALES_AMT</v>
          </cell>
          <cell r="C7">
            <v>0</v>
          </cell>
        </row>
        <row r="8">
          <cell r="A8" t="str">
            <v>CUM_LOSS_SALES_CNT</v>
          </cell>
          <cell r="C8">
            <v>0</v>
          </cell>
        </row>
        <row r="9">
          <cell r="A9" t="str">
            <v>CUM_LOSS_SALES_SEC_VAL</v>
          </cell>
          <cell r="C9">
            <v>0</v>
          </cell>
        </row>
        <row r="10">
          <cell r="A10" t="str">
            <v>DISTRIBUTION_DATE</v>
          </cell>
        </row>
        <row r="11">
          <cell r="A11" t="str">
            <v>NOTEBAL_A1</v>
          </cell>
          <cell r="C11">
            <v>123000000</v>
          </cell>
        </row>
        <row r="12">
          <cell r="A12" t="str">
            <v>NOTEBAL_A2a</v>
          </cell>
          <cell r="C12">
            <v>396000000</v>
          </cell>
        </row>
        <row r="13">
          <cell r="A13" t="str">
            <v>NOTEBAL_A2b</v>
          </cell>
          <cell r="C13">
            <v>0</v>
          </cell>
        </row>
        <row r="14">
          <cell r="A14" t="str">
            <v>NOTEBAL_A3</v>
          </cell>
          <cell r="C14">
            <v>396000000</v>
          </cell>
        </row>
        <row r="15">
          <cell r="A15" t="str">
            <v>NOTEBAL_A4</v>
          </cell>
          <cell r="C15">
            <v>85000000</v>
          </cell>
        </row>
        <row r="16">
          <cell r="A16" t="str">
            <v>NOTEBAL_C</v>
          </cell>
          <cell r="C16">
            <v>197605445.03999999</v>
          </cell>
        </row>
        <row r="17">
          <cell r="A17" t="str">
            <v>RESERVE_FUND</v>
          </cell>
          <cell r="C17">
            <v>2994013.61</v>
          </cell>
        </row>
        <row r="18">
          <cell r="A18" t="str">
            <v>SHORTFALL_ADMIN_FEE</v>
          </cell>
          <cell r="C18">
            <v>0</v>
          </cell>
        </row>
        <row r="19">
          <cell r="A19" t="str">
            <v>SHORTFALL_INTEREST_A1</v>
          </cell>
          <cell r="C19">
            <v>0</v>
          </cell>
        </row>
        <row r="20">
          <cell r="A20" t="str">
            <v>SHORTFALL_INTEREST_A2a</v>
          </cell>
          <cell r="C20">
            <v>0</v>
          </cell>
        </row>
        <row r="21">
          <cell r="A21" t="str">
            <v>SHORTFALL_INTEREST_A2b</v>
          </cell>
          <cell r="C21">
            <v>0</v>
          </cell>
        </row>
        <row r="22">
          <cell r="A22" t="str">
            <v>SHORTFALL_INTEREST_A3</v>
          </cell>
          <cell r="C22">
            <v>0</v>
          </cell>
        </row>
        <row r="23">
          <cell r="A23" t="str">
            <v>SHORTFALL_INTEREST_A4</v>
          </cell>
          <cell r="C23">
            <v>0</v>
          </cell>
        </row>
        <row r="24">
          <cell r="A24" t="str">
            <v>SHORTFALL_PRIN_DIST</v>
          </cell>
          <cell r="C24">
            <v>0</v>
          </cell>
        </row>
        <row r="25">
          <cell r="A25" t="str">
            <v>ACT_SECVAL_01</v>
          </cell>
          <cell r="C25">
            <v>0</v>
          </cell>
        </row>
        <row r="26">
          <cell r="A26" t="str">
            <v>ACT_SECVAL_02</v>
          </cell>
          <cell r="C26">
            <v>0</v>
          </cell>
        </row>
        <row r="27">
          <cell r="A27" t="str">
            <v>ACT_SECVAL_03</v>
          </cell>
          <cell r="C27">
            <v>0</v>
          </cell>
        </row>
        <row r="28">
          <cell r="A28" t="str">
            <v>ACT_SECVAL_04</v>
          </cell>
          <cell r="C28">
            <v>0</v>
          </cell>
        </row>
        <row r="29">
          <cell r="A29" t="str">
            <v>ACT_SECVAL_05</v>
          </cell>
          <cell r="C29">
            <v>0</v>
          </cell>
        </row>
        <row r="30">
          <cell r="A30" t="str">
            <v>ACT_SECVAL_06</v>
          </cell>
          <cell r="C30">
            <v>0</v>
          </cell>
        </row>
        <row r="31">
          <cell r="A31" t="str">
            <v>ACT_SECVAL_07</v>
          </cell>
          <cell r="C31">
            <v>0</v>
          </cell>
        </row>
        <row r="32">
          <cell r="A32" t="str">
            <v>ACT_SECVAL_08</v>
          </cell>
          <cell r="C32">
            <v>0</v>
          </cell>
        </row>
        <row r="33">
          <cell r="A33" t="str">
            <v>ACT_SECVAL_09</v>
          </cell>
          <cell r="C33">
            <v>0</v>
          </cell>
        </row>
        <row r="34">
          <cell r="A34" t="str">
            <v>ACT_SECVAL_10</v>
          </cell>
          <cell r="C34">
            <v>0</v>
          </cell>
        </row>
        <row r="35">
          <cell r="A35" t="str">
            <v>ACT_SECVAL_11</v>
          </cell>
          <cell r="C35">
            <v>0</v>
          </cell>
        </row>
        <row r="36">
          <cell r="A36" t="str">
            <v>ACT_SECVAL_12</v>
          </cell>
          <cell r="C36">
            <v>0</v>
          </cell>
        </row>
        <row r="37">
          <cell r="A37" t="str">
            <v>ACT_SECVAL_13</v>
          </cell>
          <cell r="C37">
            <v>0</v>
          </cell>
        </row>
        <row r="38">
          <cell r="A38" t="str">
            <v>ACT_SECVAL_14</v>
          </cell>
          <cell r="C38">
            <v>0</v>
          </cell>
        </row>
        <row r="39">
          <cell r="A39" t="str">
            <v>ACT_SECVAL_15</v>
          </cell>
          <cell r="C39">
            <v>0</v>
          </cell>
        </row>
        <row r="40">
          <cell r="A40" t="str">
            <v>ACT_SECVAL_16</v>
          </cell>
          <cell r="C40">
            <v>0</v>
          </cell>
        </row>
        <row r="41">
          <cell r="A41" t="str">
            <v>ACT_SECVAL_17</v>
          </cell>
          <cell r="C41">
            <v>0</v>
          </cell>
        </row>
        <row r="42">
          <cell r="A42" t="str">
            <v>ACT_SECVAL_18</v>
          </cell>
          <cell r="C42">
            <v>0</v>
          </cell>
        </row>
        <row r="43">
          <cell r="A43" t="str">
            <v>ACT_SECVAL_19</v>
          </cell>
          <cell r="C43">
            <v>0</v>
          </cell>
        </row>
        <row r="44">
          <cell r="A44" t="str">
            <v>ACT_SECVAL_20</v>
          </cell>
          <cell r="C44">
            <v>0</v>
          </cell>
        </row>
        <row r="45">
          <cell r="A45" t="str">
            <v>ACT_SECVAL_21</v>
          </cell>
          <cell r="C45">
            <v>0</v>
          </cell>
        </row>
        <row r="46">
          <cell r="A46" t="str">
            <v>ACT_SECVAL_22</v>
          </cell>
          <cell r="C46">
            <v>0</v>
          </cell>
        </row>
        <row r="47">
          <cell r="A47" t="str">
            <v>ACT_SECVAL_23</v>
          </cell>
          <cell r="C47">
            <v>0</v>
          </cell>
        </row>
        <row r="48">
          <cell r="A48" t="str">
            <v>ACT_SECVAL_24</v>
          </cell>
          <cell r="C48">
            <v>0</v>
          </cell>
        </row>
        <row r="49">
          <cell r="A49" t="str">
            <v>ACT_SECVAL_25</v>
          </cell>
          <cell r="C49">
            <v>0</v>
          </cell>
        </row>
        <row r="50">
          <cell r="A50" t="str">
            <v>ACT_SECVAL_26</v>
          </cell>
          <cell r="C50">
            <v>0</v>
          </cell>
        </row>
        <row r="51">
          <cell r="A51" t="str">
            <v>ACT_SECVAL_27</v>
          </cell>
          <cell r="C51">
            <v>0</v>
          </cell>
        </row>
        <row r="52">
          <cell r="A52" t="str">
            <v>ACT_SECVAL_28</v>
          </cell>
          <cell r="C52">
            <v>0</v>
          </cell>
        </row>
        <row r="53">
          <cell r="A53" t="str">
            <v>ACT_SECVAL_29</v>
          </cell>
          <cell r="C53">
            <v>0</v>
          </cell>
        </row>
        <row r="54">
          <cell r="A54" t="str">
            <v>ACT_SECVAL_30</v>
          </cell>
          <cell r="C54">
            <v>0</v>
          </cell>
        </row>
        <row r="55">
          <cell r="A55" t="str">
            <v>ACT_SECVAL_31</v>
          </cell>
          <cell r="C55">
            <v>0</v>
          </cell>
        </row>
        <row r="56">
          <cell r="A56" t="str">
            <v>ACT_SECVAL_32</v>
          </cell>
          <cell r="C56">
            <v>0</v>
          </cell>
        </row>
        <row r="57">
          <cell r="A57" t="str">
            <v>ACT_SECVAL_33</v>
          </cell>
          <cell r="C57">
            <v>0</v>
          </cell>
        </row>
        <row r="58">
          <cell r="A58" t="str">
            <v>ACT_SECVAL_34</v>
          </cell>
          <cell r="C58">
            <v>0</v>
          </cell>
        </row>
        <row r="59">
          <cell r="A59" t="str">
            <v>ACT_SECVAL_35</v>
          </cell>
          <cell r="C59">
            <v>0</v>
          </cell>
        </row>
        <row r="60">
          <cell r="A60" t="str">
            <v>ACT_SECVAL_36</v>
          </cell>
          <cell r="C60">
            <v>0</v>
          </cell>
        </row>
        <row r="61">
          <cell r="A61" t="str">
            <v>ACT_SECVAL_37</v>
          </cell>
          <cell r="C61">
            <v>0</v>
          </cell>
        </row>
        <row r="62">
          <cell r="A62" t="str">
            <v>ACT_SECVAL_38</v>
          </cell>
          <cell r="C62">
            <v>0</v>
          </cell>
        </row>
        <row r="63">
          <cell r="A63" t="str">
            <v>ACT_SECVAL_39</v>
          </cell>
          <cell r="C63">
            <v>0</v>
          </cell>
        </row>
        <row r="64">
          <cell r="A64" t="str">
            <v>ACT_SECVAL_40</v>
          </cell>
          <cell r="C64">
            <v>0</v>
          </cell>
        </row>
        <row r="65">
          <cell r="A65" t="str">
            <v>ACT_SECVAL_41</v>
          </cell>
          <cell r="C65">
            <v>0</v>
          </cell>
        </row>
        <row r="66">
          <cell r="A66" t="str">
            <v>ACT_SECVAL_42</v>
          </cell>
          <cell r="C66">
            <v>0</v>
          </cell>
        </row>
        <row r="67">
          <cell r="A67" t="str">
            <v>ACT_SECVAL_43</v>
          </cell>
          <cell r="C67">
            <v>0</v>
          </cell>
        </row>
        <row r="68">
          <cell r="A68" t="str">
            <v>ACT_SECVAL_44</v>
          </cell>
          <cell r="C68">
            <v>0</v>
          </cell>
        </row>
        <row r="69">
          <cell r="A69" t="str">
            <v>ACT_SECVAL_45</v>
          </cell>
          <cell r="C69">
            <v>0</v>
          </cell>
        </row>
        <row r="70">
          <cell r="A70" t="str">
            <v>ACT_SECVAL_46</v>
          </cell>
          <cell r="C70">
            <v>0</v>
          </cell>
        </row>
        <row r="71">
          <cell r="A71" t="str">
            <v>ACT_SECVAL_47</v>
          </cell>
          <cell r="C71">
            <v>0</v>
          </cell>
        </row>
        <row r="72">
          <cell r="A72" t="str">
            <v>ACT_SECVAL_48</v>
          </cell>
          <cell r="C72">
            <v>0</v>
          </cell>
        </row>
        <row r="73">
          <cell r="A73" t="str">
            <v>ACT_SECVAL_49</v>
          </cell>
          <cell r="C73">
            <v>0</v>
          </cell>
        </row>
        <row r="74">
          <cell r="A74" t="str">
            <v>ACT_SECVAL_50</v>
          </cell>
          <cell r="C74">
            <v>0</v>
          </cell>
        </row>
        <row r="75">
          <cell r="A75" t="str">
            <v>ACT_SECVAL_51</v>
          </cell>
          <cell r="C75">
            <v>0</v>
          </cell>
        </row>
        <row r="76">
          <cell r="A76" t="str">
            <v>ACT_SECVAL_52</v>
          </cell>
          <cell r="C76">
            <v>0</v>
          </cell>
        </row>
        <row r="77">
          <cell r="A77" t="str">
            <v>ACT_SECVAL_53</v>
          </cell>
          <cell r="C77">
            <v>0</v>
          </cell>
        </row>
        <row r="78">
          <cell r="A78" t="str">
            <v>ACT_SECVAL_54</v>
          </cell>
          <cell r="C78">
            <v>0</v>
          </cell>
        </row>
        <row r="79">
          <cell r="A79" t="str">
            <v>ACT_SECVAL_55</v>
          </cell>
          <cell r="C79">
            <v>0</v>
          </cell>
        </row>
        <row r="80">
          <cell r="A80" t="str">
            <v>ACT_SECVAL_56</v>
          </cell>
          <cell r="C80">
            <v>0</v>
          </cell>
        </row>
        <row r="81">
          <cell r="A81" t="str">
            <v>ACT_SECVAL_57</v>
          </cell>
          <cell r="C81">
            <v>0</v>
          </cell>
        </row>
        <row r="82">
          <cell r="A82" t="str">
            <v>ACT_SECVAL_58</v>
          </cell>
          <cell r="C82">
            <v>0</v>
          </cell>
        </row>
        <row r="83">
          <cell r="A83" t="str">
            <v>ACT_SECVAL_59</v>
          </cell>
          <cell r="C83">
            <v>0</v>
          </cell>
        </row>
        <row r="84">
          <cell r="A84" t="str">
            <v>ACT_SECVAL_60</v>
          </cell>
          <cell r="C84">
            <v>0</v>
          </cell>
        </row>
        <row r="85">
          <cell r="A85" t="str">
            <v>ACT_SECVAL_61</v>
          </cell>
          <cell r="C85">
            <v>0</v>
          </cell>
        </row>
        <row r="86">
          <cell r="A86" t="str">
            <v>ACT_SECVAL_62</v>
          </cell>
          <cell r="C86">
            <v>0</v>
          </cell>
        </row>
        <row r="87">
          <cell r="A87" t="str">
            <v>ACT_SECVAL_63</v>
          </cell>
          <cell r="C87">
            <v>0</v>
          </cell>
        </row>
        <row r="88">
          <cell r="A88" t="str">
            <v>POOL_BALANCE_END_BOOK</v>
          </cell>
          <cell r="C88">
            <v>1386918866.0599999</v>
          </cell>
        </row>
        <row r="89">
          <cell r="A89" t="str">
            <v>DELQ_RATIO_PREV_3RD</v>
          </cell>
          <cell r="C89">
            <v>0</v>
          </cell>
        </row>
        <row r="90">
          <cell r="A90" t="str">
            <v>DELQ_RATIO_PREV_3RD_AMT</v>
          </cell>
          <cell r="C90">
            <v>0</v>
          </cell>
        </row>
        <row r="91">
          <cell r="A91" t="str">
            <v>DELQ_RATIO_PREV_2ND_AMT</v>
          </cell>
          <cell r="C91">
            <v>0</v>
          </cell>
        </row>
        <row r="92">
          <cell r="A92" t="str">
            <v>DELQ_RATIO_PREV_AMT</v>
          </cell>
          <cell r="C92">
            <v>0</v>
          </cell>
        </row>
        <row r="93">
          <cell r="A93" t="str">
            <v>NET_LOSS_RATIO_PREV_3RD</v>
          </cell>
          <cell r="C93">
            <v>0</v>
          </cell>
        </row>
        <row r="94">
          <cell r="A94" t="str">
            <v>DELQ_RATIO_PREV_2ND</v>
          </cell>
          <cell r="C94">
            <v>0</v>
          </cell>
        </row>
        <row r="95">
          <cell r="A95" t="str">
            <v>DELQ_RATIO_PREV</v>
          </cell>
          <cell r="C95">
            <v>0</v>
          </cell>
        </row>
        <row r="96">
          <cell r="A96" t="str">
            <v>NET_LOSS_RATIO_PREV</v>
          </cell>
          <cell r="C96">
            <v>0</v>
          </cell>
        </row>
        <row r="97">
          <cell r="A97" t="str">
            <v>NET_LOSS_RATIO_PREV_2ND</v>
          </cell>
          <cell r="C97">
            <v>0</v>
          </cell>
        </row>
      </sheetData>
      <sheetData sheetId="4"/>
      <sheetData sheetId="5"/>
      <sheetData sheetId="6">
        <row r="3">
          <cell r="F3">
            <v>0.95330512019301406</v>
          </cell>
        </row>
        <row r="4">
          <cell r="F4">
            <v>0.97340541411486758</v>
          </cell>
        </row>
      </sheetData>
      <sheetData sheetId="7">
        <row r="4">
          <cell r="B4">
            <v>5143689.84</v>
          </cell>
        </row>
        <row r="5">
          <cell r="B5">
            <v>13297961.810000001</v>
          </cell>
        </row>
        <row r="6">
          <cell r="B6">
            <v>634372.41</v>
          </cell>
          <cell r="F6">
            <v>0</v>
          </cell>
        </row>
        <row r="7">
          <cell r="B7">
            <v>320416.5</v>
          </cell>
        </row>
        <row r="8">
          <cell r="B8">
            <v>719828</v>
          </cell>
        </row>
        <row r="9">
          <cell r="B9">
            <v>0</v>
          </cell>
        </row>
        <row r="11">
          <cell r="B11">
            <v>0</v>
          </cell>
        </row>
        <row r="12">
          <cell r="B12">
            <v>12908450.32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95168.5</v>
          </cell>
        </row>
        <row r="18">
          <cell r="B18">
            <v>34842502.030000001</v>
          </cell>
        </row>
        <row r="23">
          <cell r="F23">
            <v>0</v>
          </cell>
        </row>
        <row r="25">
          <cell r="F25">
            <v>5988027.2300000004</v>
          </cell>
        </row>
      </sheetData>
      <sheetData sheetId="8">
        <row r="2">
          <cell r="B2">
            <v>1201665741.9200001</v>
          </cell>
          <cell r="C2">
            <v>1046352274.8200001</v>
          </cell>
          <cell r="F2">
            <v>50674</v>
          </cell>
        </row>
        <row r="3">
          <cell r="B3">
            <v>16310458.199999999</v>
          </cell>
          <cell r="C3">
            <v>12776086.980000019</v>
          </cell>
        </row>
        <row r="4">
          <cell r="B4">
            <v>1737574.58</v>
          </cell>
          <cell r="C4">
            <v>1551557.19</v>
          </cell>
          <cell r="F4">
            <v>75</v>
          </cell>
        </row>
        <row r="5">
          <cell r="B5">
            <v>0</v>
          </cell>
          <cell r="C5">
            <v>0</v>
          </cell>
          <cell r="F5">
            <v>0</v>
          </cell>
        </row>
        <row r="6">
          <cell r="B6">
            <v>0</v>
          </cell>
          <cell r="C6">
            <v>0</v>
          </cell>
          <cell r="F6">
            <v>0</v>
          </cell>
        </row>
        <row r="7">
          <cell r="B7">
            <v>13316018.779999999</v>
          </cell>
          <cell r="C7">
            <v>11724161.27</v>
          </cell>
          <cell r="F7">
            <v>554</v>
          </cell>
        </row>
        <row r="8">
          <cell r="B8">
            <v>1170301690.3599999</v>
          </cell>
          <cell r="C8">
            <v>1020300469.38</v>
          </cell>
        </row>
        <row r="12">
          <cell r="B12">
            <v>3155652.85</v>
          </cell>
          <cell r="C12">
            <v>148</v>
          </cell>
          <cell r="D12">
            <v>3.0158608395464662E-3</v>
          </cell>
        </row>
        <row r="13">
          <cell r="B13">
            <v>725987.51</v>
          </cell>
          <cell r="C13">
            <v>34</v>
          </cell>
          <cell r="D13">
            <v>6.9382704799384018E-4</v>
          </cell>
        </row>
        <row r="14">
          <cell r="B14">
            <v>324870.99</v>
          </cell>
          <cell r="C14">
            <v>13</v>
          </cell>
          <cell r="D14">
            <v>3.104795562812594E-4</v>
          </cell>
        </row>
        <row r="15">
          <cell r="B15">
            <v>67942.37</v>
          </cell>
          <cell r="C15">
            <v>3</v>
          </cell>
          <cell r="D15">
            <v>6.4932596444813821E-5</v>
          </cell>
        </row>
        <row r="17">
          <cell r="D17">
            <v>4.0201674438215661E-3</v>
          </cell>
        </row>
        <row r="19">
          <cell r="B19">
            <v>9.2817330000000001E-4</v>
          </cell>
          <cell r="C19">
            <v>9.334934E-4</v>
          </cell>
        </row>
        <row r="20">
          <cell r="B20">
            <v>8.7805990000000003E-4</v>
          </cell>
          <cell r="C20">
            <v>8.2802180000000002E-4</v>
          </cell>
        </row>
        <row r="21">
          <cell r="B21">
            <v>1.0897268999999999E-3</v>
          </cell>
          <cell r="C21">
            <v>1.0127765999999999E-3</v>
          </cell>
        </row>
        <row r="26">
          <cell r="B26">
            <v>1301178.6100000001</v>
          </cell>
        </row>
        <row r="27">
          <cell r="D27">
            <v>1.2435378039617076E-3</v>
          </cell>
        </row>
        <row r="28">
          <cell r="D28">
            <v>4.3999999999999997E-2</v>
          </cell>
        </row>
        <row r="34">
          <cell r="C34">
            <v>1551557.19</v>
          </cell>
          <cell r="D34">
            <v>1869958.31</v>
          </cell>
          <cell r="E34">
            <v>318401.12000000011</v>
          </cell>
          <cell r="F34">
            <v>75</v>
          </cell>
        </row>
        <row r="35">
          <cell r="E35">
            <v>-2938308.74</v>
          </cell>
        </row>
        <row r="38">
          <cell r="E38">
            <v>1294983</v>
          </cell>
        </row>
        <row r="39">
          <cell r="C39">
            <v>501425.67</v>
          </cell>
          <cell r="D39">
            <v>593094</v>
          </cell>
          <cell r="F39">
            <v>20</v>
          </cell>
        </row>
        <row r="40">
          <cell r="C40">
            <v>1624281.38</v>
          </cell>
          <cell r="E40">
            <v>263795.62000000011</v>
          </cell>
          <cell r="F40">
            <v>65</v>
          </cell>
        </row>
        <row r="44">
          <cell r="B44">
            <v>6.6505480000000005E-4</v>
          </cell>
        </row>
        <row r="45">
          <cell r="B45">
            <v>2.080444E-4</v>
          </cell>
        </row>
        <row r="46">
          <cell r="B46">
            <v>4.4707759999999998E-4</v>
          </cell>
        </row>
      </sheetData>
      <sheetData sheetId="9">
        <row r="4">
          <cell r="B4">
            <v>20</v>
          </cell>
          <cell r="C4">
            <v>593094</v>
          </cell>
        </row>
        <row r="5">
          <cell r="B5">
            <v>3</v>
          </cell>
          <cell r="C5">
            <v>56178</v>
          </cell>
        </row>
        <row r="6">
          <cell r="B6">
            <v>3</v>
          </cell>
          <cell r="C6">
            <v>43109</v>
          </cell>
        </row>
        <row r="7">
          <cell r="B7">
            <v>0</v>
          </cell>
          <cell r="C7">
            <v>0</v>
          </cell>
        </row>
        <row r="8">
          <cell r="B8">
            <v>1</v>
          </cell>
          <cell r="C8">
            <v>27447</v>
          </cell>
        </row>
        <row r="9">
          <cell r="B9">
            <v>64</v>
          </cell>
          <cell r="D9">
            <v>1716689.13</v>
          </cell>
        </row>
        <row r="10">
          <cell r="B10">
            <v>7</v>
          </cell>
          <cell r="E10">
            <v>162821.67000000001</v>
          </cell>
        </row>
        <row r="11">
          <cell r="B11">
            <v>529</v>
          </cell>
          <cell r="E11">
            <v>12809677.470000001</v>
          </cell>
        </row>
        <row r="12">
          <cell r="B12">
            <v>0</v>
          </cell>
          <cell r="E12">
            <v>0</v>
          </cell>
        </row>
      </sheetData>
      <sheetData sheetId="10">
        <row r="5">
          <cell r="C5">
            <v>5988027.2300000004</v>
          </cell>
        </row>
        <row r="6">
          <cell r="C6">
            <v>0</v>
          </cell>
          <cell r="G6">
            <v>1169922.69</v>
          </cell>
        </row>
        <row r="7">
          <cell r="G7">
            <v>-411121.61</v>
          </cell>
        </row>
        <row r="8">
          <cell r="G8">
            <v>634372.41</v>
          </cell>
        </row>
        <row r="9">
          <cell r="C9">
            <v>0</v>
          </cell>
          <cell r="G9">
            <v>1393173.49</v>
          </cell>
        </row>
        <row r="10">
          <cell r="C10">
            <v>6836533.7699999996</v>
          </cell>
        </row>
        <row r="12">
          <cell r="G12">
            <v>410743.86</v>
          </cell>
        </row>
        <row r="13">
          <cell r="G13">
            <v>-361502.6</v>
          </cell>
        </row>
        <row r="14">
          <cell r="G14">
            <v>320416.5</v>
          </cell>
        </row>
        <row r="15">
          <cell r="C15">
            <v>6836533.7699999996</v>
          </cell>
          <cell r="G15">
            <v>369657.76</v>
          </cell>
        </row>
      </sheetData>
      <sheetData sheetId="11">
        <row r="1">
          <cell r="L1" t="str">
            <v>Regular</v>
          </cell>
        </row>
        <row r="3">
          <cell r="B3">
            <v>123000000</v>
          </cell>
          <cell r="C3">
            <v>0</v>
          </cell>
          <cell r="G3">
            <v>0</v>
          </cell>
          <cell r="I3">
            <v>0</v>
          </cell>
        </row>
        <row r="4">
          <cell r="B4">
            <v>396000000</v>
          </cell>
          <cell r="C4">
            <v>367746829.77999997</v>
          </cell>
          <cell r="G4">
            <v>26051805.44000002</v>
          </cell>
          <cell r="I4">
            <v>341695024.33999997</v>
          </cell>
        </row>
        <row r="5">
          <cell r="B5">
            <v>0</v>
          </cell>
          <cell r="C5">
            <v>0</v>
          </cell>
          <cell r="G5">
            <v>0</v>
          </cell>
          <cell r="I5">
            <v>0</v>
          </cell>
        </row>
        <row r="6">
          <cell r="B6">
            <v>396000000</v>
          </cell>
          <cell r="C6">
            <v>396000000</v>
          </cell>
          <cell r="G6">
            <v>0</v>
          </cell>
          <cell r="I6">
            <v>396000000</v>
          </cell>
        </row>
        <row r="7">
          <cell r="B7">
            <v>85000000</v>
          </cell>
          <cell r="C7">
            <v>85000000</v>
          </cell>
          <cell r="G7">
            <v>0</v>
          </cell>
          <cell r="I7">
            <v>85000000</v>
          </cell>
        </row>
        <row r="8">
          <cell r="B8">
            <v>197605445.03999999</v>
          </cell>
          <cell r="C8">
            <v>197605445.03999999</v>
          </cell>
          <cell r="G8">
            <v>0</v>
          </cell>
          <cell r="I8">
            <v>197605445.03999999</v>
          </cell>
        </row>
        <row r="12">
          <cell r="B12">
            <v>1.5E-3</v>
          </cell>
          <cell r="E12">
            <v>0</v>
          </cell>
          <cell r="G12">
            <v>0</v>
          </cell>
          <cell r="H12">
            <v>0</v>
          </cell>
        </row>
        <row r="13">
          <cell r="B13">
            <v>3.0000000000000001E-3</v>
          </cell>
          <cell r="E13">
            <v>0</v>
          </cell>
          <cell r="F13">
            <v>0</v>
          </cell>
          <cell r="G13">
            <v>91936.71</v>
          </cell>
          <cell r="H13">
            <v>91936.71</v>
          </cell>
        </row>
        <row r="14">
          <cell r="B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5.1999999999999998E-3</v>
          </cell>
          <cell r="E15">
            <v>0</v>
          </cell>
          <cell r="F15">
            <v>0</v>
          </cell>
          <cell r="G15">
            <v>171600</v>
          </cell>
          <cell r="H15">
            <v>171600</v>
          </cell>
        </row>
        <row r="16">
          <cell r="B16">
            <v>6.4999999999999997E-3</v>
          </cell>
          <cell r="E16">
            <v>0</v>
          </cell>
          <cell r="F16">
            <v>0</v>
          </cell>
          <cell r="G16">
            <v>46041.67</v>
          </cell>
          <cell r="H16">
            <v>46041.67</v>
          </cell>
        </row>
        <row r="17">
          <cell r="B17">
            <v>0</v>
          </cell>
        </row>
        <row r="23">
          <cell r="C23">
            <v>5988027.2300000004</v>
          </cell>
        </row>
        <row r="24">
          <cell r="C24">
            <v>44666</v>
          </cell>
        </row>
        <row r="25">
          <cell r="C25">
            <v>44697</v>
          </cell>
        </row>
        <row r="26">
          <cell r="C26">
            <v>44651</v>
          </cell>
        </row>
        <row r="27">
          <cell r="C27">
            <v>44681</v>
          </cell>
        </row>
        <row r="28">
          <cell r="C28">
            <v>411121.61</v>
          </cell>
        </row>
        <row r="29">
          <cell r="C29">
            <v>361502.6</v>
          </cell>
        </row>
        <row r="30">
          <cell r="C30">
            <v>0</v>
          </cell>
        </row>
        <row r="32">
          <cell r="C32">
            <v>871960.23</v>
          </cell>
        </row>
        <row r="33">
          <cell r="C33">
            <v>30</v>
          </cell>
        </row>
        <row r="34">
          <cell r="C34">
            <v>31</v>
          </cell>
        </row>
      </sheetData>
      <sheetData sheetId="12">
        <row r="5">
          <cell r="F5">
            <v>871960.23</v>
          </cell>
        </row>
        <row r="6">
          <cell r="E6">
            <v>309578.38</v>
          </cell>
          <cell r="F6">
            <v>309578.38</v>
          </cell>
        </row>
        <row r="17">
          <cell r="C17">
            <v>32888339.210000001</v>
          </cell>
        </row>
        <row r="28">
          <cell r="E28">
            <v>0</v>
          </cell>
          <cell r="F28">
            <v>0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1C8E-3B39-4362-984F-BEC244208549}">
  <sheetPr>
    <pageSetUpPr fitToPage="1"/>
  </sheetPr>
  <dimension ref="A1:AA270"/>
  <sheetViews>
    <sheetView tabSelected="1" zoomScale="75" zoomScaleNormal="75" workbookViewId="0"/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85546875" style="1" bestFit="1" customWidth="1"/>
    <col min="4" max="4" width="37.85546875" style="1" customWidth="1"/>
    <col min="5" max="5" width="21.42578125" style="1" customWidth="1"/>
    <col min="6" max="6" width="23.42578125" style="1" customWidth="1"/>
    <col min="7" max="7" width="20.85546875" style="1" customWidth="1"/>
    <col min="8" max="8" width="18.140625" style="1" customWidth="1"/>
    <col min="9" max="9" width="15.140625" style="1" customWidth="1"/>
    <col min="10" max="16384" width="34.42578125" style="1"/>
  </cols>
  <sheetData>
    <row r="1" spans="1:27" x14ac:dyDescent="0.25">
      <c r="Z1" s="2"/>
      <c r="AA1" s="3"/>
    </row>
    <row r="2" spans="1:27" x14ac:dyDescent="0.25">
      <c r="A2" s="4"/>
    </row>
    <row r="3" spans="1:27" x14ac:dyDescent="0.25">
      <c r="A3" s="5" t="s">
        <v>0</v>
      </c>
      <c r="C3" s="6">
        <v>44896</v>
      </c>
      <c r="D3" s="7" t="s">
        <v>1</v>
      </c>
      <c r="E3" s="8">
        <v>44943</v>
      </c>
    </row>
    <row r="4" spans="1:27" x14ac:dyDescent="0.25">
      <c r="A4" s="5" t="s">
        <v>2</v>
      </c>
      <c r="C4" s="6">
        <v>44926</v>
      </c>
      <c r="D4" s="7" t="s">
        <v>3</v>
      </c>
      <c r="E4" s="9">
        <v>30</v>
      </c>
    </row>
    <row r="5" spans="1:27" x14ac:dyDescent="0.25">
      <c r="A5" s="5" t="s">
        <v>4</v>
      </c>
      <c r="C5" s="6">
        <v>44910</v>
      </c>
      <c r="D5" s="7" t="s">
        <v>5</v>
      </c>
      <c r="E5" s="9">
        <v>33</v>
      </c>
    </row>
    <row r="6" spans="1:27" x14ac:dyDescent="0.25">
      <c r="A6" s="5" t="s">
        <v>6</v>
      </c>
      <c r="C6" s="6">
        <v>44943</v>
      </c>
      <c r="E6" s="3"/>
    </row>
    <row r="7" spans="1:27" x14ac:dyDescent="0.25">
      <c r="A7" s="5"/>
      <c r="B7" s="10"/>
      <c r="F7" s="11"/>
    </row>
    <row r="8" spans="1:27" x14ac:dyDescent="0.25">
      <c r="A8" s="7" t="s">
        <v>7</v>
      </c>
    </row>
    <row r="9" spans="1:27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x14ac:dyDescent="0.25">
      <c r="A10" s="7" t="s">
        <v>13</v>
      </c>
      <c r="B10" s="13"/>
      <c r="C10" s="14">
        <v>1197605445.04</v>
      </c>
      <c r="D10" s="15">
        <v>784661821.29999995</v>
      </c>
      <c r="E10" s="14">
        <v>734497151.16999996</v>
      </c>
      <c r="F10" s="16">
        <v>0.61330478598940219</v>
      </c>
      <c r="G10" s="17"/>
      <c r="H10" s="18"/>
    </row>
    <row r="11" spans="1:27" x14ac:dyDescent="0.25">
      <c r="A11" s="7" t="s">
        <v>14</v>
      </c>
      <c r="B11" s="7"/>
      <c r="C11" s="14">
        <v>1197605445.04</v>
      </c>
      <c r="D11" s="15">
        <v>784661821.29999995</v>
      </c>
      <c r="E11" s="14">
        <v>734497151.16999996</v>
      </c>
      <c r="F11" s="16">
        <v>0.61330478598940219</v>
      </c>
    </row>
    <row r="12" spans="1:27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x14ac:dyDescent="0.25">
      <c r="A13" s="19" t="s">
        <v>16</v>
      </c>
      <c r="B13" s="20">
        <v>3.0000000000000001E-3</v>
      </c>
      <c r="C13" s="14">
        <v>396000000</v>
      </c>
      <c r="D13" s="15">
        <v>106056376.26000001</v>
      </c>
      <c r="E13" s="14">
        <v>55891706.130000003</v>
      </c>
      <c r="F13" s="16">
        <v>0.14114067204545455</v>
      </c>
      <c r="G13" s="17"/>
    </row>
    <row r="14" spans="1:27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x14ac:dyDescent="0.25">
      <c r="A18" s="19"/>
      <c r="B18" s="22"/>
      <c r="C18" s="23"/>
      <c r="D18" s="23"/>
      <c r="E18" s="23"/>
      <c r="F18" s="23"/>
    </row>
    <row r="19" spans="1:10" x14ac:dyDescent="0.25">
      <c r="A19" s="19"/>
      <c r="B19" s="22"/>
      <c r="F19" s="23"/>
      <c r="G19" s="17"/>
    </row>
    <row r="20" spans="1:10" ht="30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x14ac:dyDescent="0.25">
      <c r="A22" s="19" t="s">
        <v>16</v>
      </c>
      <c r="B22" s="14">
        <v>50164670.129999876</v>
      </c>
      <c r="C22" s="14">
        <v>26514.09</v>
      </c>
      <c r="D22" s="16">
        <v>126.67845992424211</v>
      </c>
      <c r="E22" s="16">
        <v>6.6954772727272724E-2</v>
      </c>
      <c r="F22" s="23"/>
    </row>
    <row r="23" spans="1:10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x14ac:dyDescent="0.25">
      <c r="A27" s="7" t="s">
        <v>14</v>
      </c>
      <c r="B27" s="14">
        <v>50164670.129999876</v>
      </c>
      <c r="C27" s="14">
        <v>244155.76</v>
      </c>
      <c r="D27" s="25"/>
      <c r="E27" s="26"/>
      <c r="F27" s="27"/>
    </row>
    <row r="28" spans="1:10" x14ac:dyDescent="0.25">
      <c r="A28" s="7"/>
      <c r="B28" s="27"/>
      <c r="D28" s="28"/>
      <c r="E28" s="28"/>
      <c r="F28" s="27"/>
    </row>
    <row r="29" spans="1:10" x14ac:dyDescent="0.25">
      <c r="A29" s="7" t="s">
        <v>25</v>
      </c>
      <c r="B29" s="27"/>
      <c r="D29" s="28"/>
      <c r="E29" s="28"/>
    </row>
    <row r="30" spans="1:10" x14ac:dyDescent="0.25">
      <c r="A30" s="7"/>
    </row>
    <row r="31" spans="1:10" x14ac:dyDescent="0.25">
      <c r="A31" s="29" t="s">
        <v>26</v>
      </c>
    </row>
    <row r="32" spans="1:10" x14ac:dyDescent="0.25">
      <c r="A32" s="30" t="s">
        <v>27</v>
      </c>
      <c r="H32" s="31">
        <v>10845485.4</v>
      </c>
      <c r="I32" s="32"/>
      <c r="J32" s="17"/>
    </row>
    <row r="33" spans="1:10" x14ac:dyDescent="0.25">
      <c r="A33" s="30" t="s">
        <v>28</v>
      </c>
      <c r="H33" s="33">
        <v>4149366.9</v>
      </c>
      <c r="I33" s="34"/>
      <c r="J33" s="17"/>
    </row>
    <row r="34" spans="1:10" x14ac:dyDescent="0.25">
      <c r="A34" s="7" t="s">
        <v>29</v>
      </c>
      <c r="E34" s="28"/>
      <c r="F34" s="17"/>
      <c r="H34" s="35">
        <v>14994852.300000001</v>
      </c>
      <c r="I34" s="36"/>
      <c r="J34" s="17"/>
    </row>
    <row r="35" spans="1:10" x14ac:dyDescent="0.25">
      <c r="A35" s="7"/>
      <c r="E35" s="28"/>
      <c r="F35" s="17"/>
      <c r="H35" s="37"/>
      <c r="I35" s="36"/>
    </row>
    <row r="36" spans="1:10" x14ac:dyDescent="0.25">
      <c r="A36" s="7" t="s">
        <v>30</v>
      </c>
      <c r="H36" s="35">
        <v>0</v>
      </c>
      <c r="I36" s="38"/>
      <c r="J36" s="17"/>
    </row>
    <row r="37" spans="1:10" x14ac:dyDescent="0.25">
      <c r="A37" s="7"/>
      <c r="I37" s="7"/>
    </row>
    <row r="38" spans="1:10" x14ac:dyDescent="0.25">
      <c r="A38" s="29" t="s">
        <v>31</v>
      </c>
      <c r="I38" s="7"/>
    </row>
    <row r="39" spans="1:10" x14ac:dyDescent="0.25">
      <c r="A39" s="30" t="s">
        <v>32</v>
      </c>
      <c r="D39" s="39"/>
      <c r="H39" s="40">
        <v>544278.06999999995</v>
      </c>
      <c r="I39" s="38"/>
      <c r="J39" s="17"/>
    </row>
    <row r="40" spans="1:10" x14ac:dyDescent="0.25">
      <c r="A40" s="30" t="s">
        <v>33</v>
      </c>
      <c r="F40" s="17"/>
      <c r="H40" s="33">
        <v>2621690.2400000002</v>
      </c>
      <c r="I40" s="34"/>
      <c r="J40" s="17"/>
    </row>
    <row r="41" spans="1:10" x14ac:dyDescent="0.25">
      <c r="A41" s="19" t="s">
        <v>34</v>
      </c>
      <c r="F41" s="41"/>
      <c r="H41" s="35">
        <v>3165968.31</v>
      </c>
      <c r="I41" s="36"/>
      <c r="J41" s="17"/>
    </row>
    <row r="42" spans="1:10" x14ac:dyDescent="0.25">
      <c r="A42" s="30"/>
      <c r="G42" s="17"/>
      <c r="H42" s="37"/>
      <c r="I42" s="38"/>
    </row>
    <row r="43" spans="1:10" x14ac:dyDescent="0.25">
      <c r="A43" s="7"/>
      <c r="I43" s="7"/>
    </row>
    <row r="44" spans="1:10" x14ac:dyDescent="0.25">
      <c r="A44" s="29" t="s">
        <v>35</v>
      </c>
      <c r="I44" s="7"/>
    </row>
    <row r="45" spans="1:10" x14ac:dyDescent="0.25">
      <c r="A45" s="19" t="s">
        <v>36</v>
      </c>
      <c r="G45"/>
      <c r="H45" s="35">
        <v>0</v>
      </c>
      <c r="I45" s="36"/>
      <c r="J45" s="17"/>
    </row>
    <row r="46" spans="1:10" x14ac:dyDescent="0.25">
      <c r="A46" s="19" t="s">
        <v>37</v>
      </c>
      <c r="H46" s="40">
        <v>0</v>
      </c>
      <c r="I46" s="38"/>
      <c r="J46" s="17"/>
    </row>
    <row r="47" spans="1:10" x14ac:dyDescent="0.25">
      <c r="A47" s="19" t="s">
        <v>38</v>
      </c>
      <c r="F47" s="17"/>
      <c r="G47" s="32"/>
      <c r="H47" s="31">
        <v>42609355.700000003</v>
      </c>
      <c r="I47" s="32"/>
      <c r="J47" s="17"/>
    </row>
    <row r="48" spans="1:10" x14ac:dyDescent="0.25">
      <c r="A48" s="19" t="s">
        <v>39</v>
      </c>
      <c r="H48" s="31">
        <v>18813.97</v>
      </c>
      <c r="I48" s="32"/>
      <c r="J48" s="17"/>
    </row>
    <row r="49" spans="1:10" x14ac:dyDescent="0.25">
      <c r="A49" s="19" t="s">
        <v>40</v>
      </c>
      <c r="H49" s="40">
        <v>0</v>
      </c>
      <c r="I49" s="38"/>
      <c r="J49" s="17"/>
    </row>
    <row r="50" spans="1:10" x14ac:dyDescent="0.25">
      <c r="A50" s="19" t="s">
        <v>41</v>
      </c>
      <c r="H50" s="31">
        <v>1355334.26</v>
      </c>
      <c r="I50" s="32"/>
      <c r="J50" s="17"/>
    </row>
    <row r="51" spans="1:10" x14ac:dyDescent="0.25">
      <c r="A51" s="19" t="s">
        <v>42</v>
      </c>
      <c r="H51" s="42">
        <v>537787.75</v>
      </c>
      <c r="I51" s="43"/>
      <c r="J51" s="17"/>
    </row>
    <row r="52" spans="1:10" x14ac:dyDescent="0.25">
      <c r="A52" s="7" t="s">
        <v>43</v>
      </c>
      <c r="F52" s="17"/>
      <c r="H52" s="44">
        <v>62682112.290000007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1855810</v>
      </c>
      <c r="F56" s="49"/>
      <c r="G56" s="50"/>
      <c r="H56" s="51">
        <v>73</v>
      </c>
      <c r="I56" s="41"/>
    </row>
    <row r="57" spans="1:10" x14ac:dyDescent="0.25">
      <c r="A57" s="19" t="s">
        <v>52</v>
      </c>
      <c r="E57" s="49">
        <v>174161</v>
      </c>
      <c r="F57" s="49"/>
      <c r="G57" s="50"/>
      <c r="H57" s="51">
        <v>8</v>
      </c>
      <c r="I57" s="41"/>
    </row>
    <row r="58" spans="1:10" x14ac:dyDescent="0.25">
      <c r="A58" s="19" t="s">
        <v>53</v>
      </c>
      <c r="E58" s="49">
        <v>76875</v>
      </c>
      <c r="F58" s="50"/>
      <c r="G58" s="50"/>
      <c r="H58" s="51">
        <v>3</v>
      </c>
    </row>
    <row r="59" spans="1:10" x14ac:dyDescent="0.25">
      <c r="A59" s="19" t="s">
        <v>54</v>
      </c>
      <c r="E59" s="49">
        <v>2038027</v>
      </c>
      <c r="F59" s="50"/>
      <c r="G59" s="50"/>
      <c r="H59" s="51">
        <v>82</v>
      </c>
    </row>
    <row r="60" spans="1:10" x14ac:dyDescent="0.25">
      <c r="A60" s="19" t="s">
        <v>55</v>
      </c>
      <c r="E60" s="49">
        <v>39353</v>
      </c>
      <c r="F60" s="50"/>
      <c r="G60" s="50"/>
      <c r="H60" s="51">
        <v>2</v>
      </c>
    </row>
    <row r="61" spans="1:10" x14ac:dyDescent="0.25">
      <c r="A61" s="19" t="s">
        <v>56</v>
      </c>
      <c r="E61" s="49"/>
      <c r="F61" s="49">
        <v>1354481.01</v>
      </c>
      <c r="G61" s="50"/>
      <c r="H61" s="51">
        <v>53</v>
      </c>
    </row>
    <row r="62" spans="1:10" x14ac:dyDescent="0.25">
      <c r="A62" s="19" t="s">
        <v>57</v>
      </c>
      <c r="E62" s="49"/>
      <c r="F62" s="49"/>
      <c r="G62" s="50">
        <v>6590993.1699999999</v>
      </c>
      <c r="H62" s="51">
        <v>335</v>
      </c>
    </row>
    <row r="63" spans="1:10" x14ac:dyDescent="0.25">
      <c r="A63" s="19" t="s">
        <v>58</v>
      </c>
      <c r="E63" s="49"/>
      <c r="F63" s="52"/>
      <c r="G63" s="50">
        <v>32298862.449999999</v>
      </c>
      <c r="H63" s="51">
        <v>1627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4184226</v>
      </c>
      <c r="F65" s="54">
        <v>1354481.01</v>
      </c>
      <c r="G65" s="55">
        <v>38889855.619999997</v>
      </c>
      <c r="H65" s="56">
        <v>2183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42090</v>
      </c>
      <c r="E71" s="62">
        <v>893836960.26999998</v>
      </c>
      <c r="F71" s="63">
        <v>7.0000000000000007E-2</v>
      </c>
      <c r="G71" s="62">
        <v>784661821.29999995</v>
      </c>
      <c r="H71" s="37"/>
      <c r="I71" s="41"/>
    </row>
    <row r="72" spans="1:10" x14ac:dyDescent="0.25">
      <c r="A72" s="19" t="s">
        <v>67</v>
      </c>
      <c r="D72" s="64"/>
      <c r="E72" s="65">
        <v>-13033178.939999999</v>
      </c>
      <c r="F72" s="66"/>
      <c r="G72" s="31">
        <v>-10300424.379999876</v>
      </c>
      <c r="H72" s="37"/>
      <c r="I72" s="41"/>
    </row>
    <row r="73" spans="1:10" x14ac:dyDescent="0.25">
      <c r="A73" s="19" t="s">
        <v>68</v>
      </c>
      <c r="D73" s="67">
        <v>-70</v>
      </c>
      <c r="E73" s="65">
        <v>-1450659.9</v>
      </c>
      <c r="F73" s="66"/>
      <c r="G73" s="31">
        <v>-1303221.33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-26</v>
      </c>
      <c r="E75" s="65">
        <v>-741266.55</v>
      </c>
      <c r="F75" s="66"/>
      <c r="G75" s="31">
        <v>-588232.82999999996</v>
      </c>
      <c r="H75" s="37"/>
      <c r="I75" s="41"/>
    </row>
    <row r="76" spans="1:10" x14ac:dyDescent="0.25">
      <c r="A76" s="19" t="s">
        <v>71</v>
      </c>
      <c r="D76" s="67">
        <v>-2123</v>
      </c>
      <c r="E76" s="65">
        <v>-42702536.049999997</v>
      </c>
      <c r="F76" s="68"/>
      <c r="G76" s="31">
        <v>-37972791.590000004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39871</v>
      </c>
      <c r="E77" s="71">
        <v>835909318.83000004</v>
      </c>
      <c r="F77" s="72"/>
      <c r="G77" s="71">
        <v>734497151.16999996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146003338.93000001</v>
      </c>
      <c r="H80" s="45"/>
      <c r="I80" s="41"/>
    </row>
    <row r="81" spans="1:10" x14ac:dyDescent="0.25">
      <c r="A81" s="76" t="s">
        <v>75</v>
      </c>
      <c r="C81" s="41"/>
      <c r="G81" s="53">
        <v>588493812.24000001</v>
      </c>
      <c r="H81" s="45"/>
      <c r="I81" s="41"/>
    </row>
    <row r="82" spans="1:10" x14ac:dyDescent="0.25">
      <c r="A82" s="77" t="s">
        <v>60</v>
      </c>
      <c r="C82" s="41"/>
      <c r="G82" s="78">
        <v>734497151.17000008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62682112.289999999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62682112.289999999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548395.48</v>
      </c>
      <c r="J92" s="17"/>
    </row>
    <row r="93" spans="1:10" x14ac:dyDescent="0.25">
      <c r="A93" s="7" t="s">
        <v>81</v>
      </c>
      <c r="H93" s="84">
        <v>2090239.47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653884.85</v>
      </c>
      <c r="J95" s="17"/>
    </row>
    <row r="96" spans="1:10" x14ac:dyDescent="0.25">
      <c r="A96" s="30" t="s">
        <v>84</v>
      </c>
      <c r="H96" s="81">
        <v>653884.85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3292519.8000000003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26514.09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26514.09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244155.76</v>
      </c>
      <c r="J150" s="17"/>
    </row>
    <row r="151" spans="1:10" x14ac:dyDescent="0.25">
      <c r="A151" s="88" t="s">
        <v>126</v>
      </c>
      <c r="H151" s="86">
        <v>244155.76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59145436.729999997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50164670.129999876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50164670.129999876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8980766.5999999996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7.4505805969238281E-9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8980766.599999994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14968793.829999987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8980766.5999999978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5988027.2299999893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10.27</v>
      </c>
      <c r="J193"/>
    </row>
    <row r="194" spans="1:10" ht="18" x14ac:dyDescent="0.25">
      <c r="A194" s="7" t="s">
        <v>154</v>
      </c>
      <c r="C194" s="2"/>
      <c r="D194" s="3"/>
      <c r="H194" s="92">
        <v>-0.80436983220982838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0.88261207108912854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1674554.64</v>
      </c>
    </row>
    <row r="199" spans="1:10" x14ac:dyDescent="0.25">
      <c r="A199" s="19" t="s">
        <v>159</v>
      </c>
      <c r="C199" s="2"/>
      <c r="D199" s="3"/>
      <c r="E199" s="17"/>
      <c r="G199" s="86">
        <v>1303221.33</v>
      </c>
      <c r="H199" s="95">
        <v>70</v>
      </c>
    </row>
    <row r="200" spans="1:10" x14ac:dyDescent="0.25">
      <c r="A200" s="19" t="s">
        <v>160</v>
      </c>
      <c r="C200" s="2"/>
      <c r="D200" s="3"/>
      <c r="E200" s="17"/>
      <c r="G200" s="86">
        <v>371333.30999999982</v>
      </c>
    </row>
    <row r="201" spans="1:10" x14ac:dyDescent="0.25">
      <c r="A201" s="19" t="s">
        <v>161</v>
      </c>
      <c r="C201" s="2"/>
      <c r="D201" s="3"/>
      <c r="E201" s="17"/>
      <c r="G201" s="86">
        <v>784661821.29999995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4.7323993588064211E-4</v>
      </c>
    </row>
    <row r="204" spans="1:10" x14ac:dyDescent="0.25">
      <c r="A204" s="19" t="s">
        <v>164</v>
      </c>
      <c r="C204" s="2"/>
      <c r="D204" s="3"/>
      <c r="E204" s="17"/>
      <c r="G204" s="97">
        <v>5.0883619999999999E-4</v>
      </c>
    </row>
    <row r="205" spans="1:10" x14ac:dyDescent="0.25">
      <c r="A205" s="19" t="s">
        <v>165</v>
      </c>
      <c r="C205" s="2"/>
      <c r="D205" s="3"/>
      <c r="E205" s="17"/>
      <c r="G205" s="97">
        <v>4.8776990000000002E-4</v>
      </c>
    </row>
    <row r="206" spans="1:10" x14ac:dyDescent="0.25">
      <c r="A206" s="19" t="s">
        <v>166</v>
      </c>
      <c r="C206" s="2"/>
      <c r="D206" s="3"/>
      <c r="E206" s="17"/>
      <c r="G206" s="97">
        <v>4.9136220000000003E-4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-5.0787893334910883E-3</v>
      </c>
      <c r="H208" s="68">
        <v>-6082385.7599999998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6.9051502608133853E-3</v>
      </c>
      <c r="G211" s="91">
        <v>5418207.7800000003</v>
      </c>
      <c r="H211" s="100">
        <v>280</v>
      </c>
    </row>
    <row r="212" spans="1:8" x14ac:dyDescent="0.25">
      <c r="A212" s="30" t="s">
        <v>172</v>
      </c>
      <c r="C212" s="2"/>
      <c r="D212" s="3"/>
      <c r="F212" s="99">
        <v>1.1347973175561972E-3</v>
      </c>
      <c r="G212" s="91">
        <v>890432.13</v>
      </c>
      <c r="H212" s="100">
        <v>45</v>
      </c>
    </row>
    <row r="213" spans="1:8" x14ac:dyDescent="0.25">
      <c r="A213" s="30" t="s">
        <v>173</v>
      </c>
      <c r="C213" s="2"/>
      <c r="D213" s="3"/>
      <c r="F213" s="99">
        <v>5.0382871865107778E-4</v>
      </c>
      <c r="G213" s="91">
        <v>395335.16</v>
      </c>
      <c r="H213" s="100">
        <v>22</v>
      </c>
    </row>
    <row r="214" spans="1:8" x14ac:dyDescent="0.25">
      <c r="A214" s="30" t="s">
        <v>174</v>
      </c>
      <c r="C214" s="2"/>
      <c r="D214" s="3"/>
      <c r="F214" s="99">
        <v>5.2299218448032831E-5</v>
      </c>
      <c r="G214" s="101">
        <v>41037.199999999997</v>
      </c>
      <c r="H214" s="102">
        <v>2</v>
      </c>
    </row>
    <row r="215" spans="1:8" x14ac:dyDescent="0.25">
      <c r="A215" s="19" t="s">
        <v>175</v>
      </c>
      <c r="C215" s="2"/>
      <c r="D215" s="3"/>
      <c r="F215" s="99">
        <v>8.5437762970206593E-3</v>
      </c>
      <c r="G215" s="54">
        <v>6745012.2700000005</v>
      </c>
      <c r="H215" s="103">
        <v>349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1.6909252546553077E-3</v>
      </c>
      <c r="H218" s="106">
        <v>1.639344262295082E-3</v>
      </c>
    </row>
    <row r="219" spans="1:8" x14ac:dyDescent="0.25">
      <c r="A219" s="19" t="s">
        <v>164</v>
      </c>
      <c r="C219" s="2"/>
      <c r="D219" s="3"/>
      <c r="G219" s="105">
        <v>1.6391512E-3</v>
      </c>
      <c r="H219" s="105">
        <v>1.6511728000000001E-3</v>
      </c>
    </row>
    <row r="220" spans="1:8" x14ac:dyDescent="0.25">
      <c r="A220" s="19" t="s">
        <v>165</v>
      </c>
      <c r="C220" s="2"/>
      <c r="D220" s="3"/>
      <c r="G220" s="105">
        <v>1.7506507999999999E-3</v>
      </c>
      <c r="H220" s="105">
        <v>1.7235360999999999E-3</v>
      </c>
    </row>
    <row r="221" spans="1:8" x14ac:dyDescent="0.25">
      <c r="A221" s="19" t="s">
        <v>166</v>
      </c>
      <c r="C221" s="2"/>
      <c r="D221" s="3"/>
      <c r="G221" s="105">
        <v>1.3481176E-3</v>
      </c>
      <c r="H221" s="105">
        <v>1.3366998000000001E-3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1592781.3</v>
      </c>
      <c r="H223" s="105"/>
    </row>
    <row r="224" spans="1:8" x14ac:dyDescent="0.25">
      <c r="A224" s="108" t="s">
        <v>178</v>
      </c>
      <c r="C224" s="2"/>
      <c r="D224" s="3"/>
      <c r="G224" s="107">
        <v>2.0298952450128597E-3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3893837</v>
      </c>
      <c r="H229" s="100">
        <v>155</v>
      </c>
    </row>
    <row r="230" spans="1:10" x14ac:dyDescent="0.25">
      <c r="A230" s="7" t="s">
        <v>183</v>
      </c>
      <c r="C230" s="2"/>
      <c r="D230" s="3"/>
      <c r="E230" s="17"/>
      <c r="G230" s="101">
        <v>3403542.37</v>
      </c>
      <c r="H230" s="100">
        <v>155</v>
      </c>
    </row>
    <row r="231" spans="1:10" x14ac:dyDescent="0.25">
      <c r="A231" s="7" t="s">
        <v>184</v>
      </c>
      <c r="C231" s="2"/>
      <c r="D231" s="3"/>
      <c r="E231" s="17"/>
      <c r="G231" s="86">
        <v>490294.62999999989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11184572.030000001</v>
      </c>
      <c r="H234" s="112">
        <v>421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9743027.5600000005</v>
      </c>
      <c r="H235" s="61">
        <v>421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1441544.4700000007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2565337.7999999998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2090239.47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2621690.2400000002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3096788.5700000003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1435645.59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548395.48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544278.06999999995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1431528.1800000002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70"/>
  <sheetViews>
    <sheetView zoomScale="75" zoomScaleNormal="75" workbookViewId="0">
      <selection activeCell="B43" sqref="B43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85546875" style="1" bestFit="1" customWidth="1"/>
    <col min="4" max="4" width="37.85546875" style="1" customWidth="1"/>
    <col min="5" max="5" width="21.42578125" style="1" customWidth="1"/>
    <col min="6" max="6" width="23.42578125" style="1" customWidth="1"/>
    <col min="7" max="7" width="20.85546875" style="1" customWidth="1"/>
    <col min="8" max="8" width="18.140625" style="1" customWidth="1"/>
    <col min="9" max="9" width="15.140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44621</v>
      </c>
      <c r="D3" s="7" t="s">
        <v>1</v>
      </c>
      <c r="E3" s="8">
        <v>44666</v>
      </c>
    </row>
    <row r="4" spans="1:27" ht="13.9" x14ac:dyDescent="0.25">
      <c r="A4" s="5" t="s">
        <v>2</v>
      </c>
      <c r="C4" s="6">
        <v>44651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44635</v>
      </c>
      <c r="D5" s="7" t="s">
        <v>5</v>
      </c>
      <c r="E5" s="9">
        <v>31</v>
      </c>
    </row>
    <row r="6" spans="1:27" ht="13.9" x14ac:dyDescent="0.25">
      <c r="A6" s="5" t="s">
        <v>6</v>
      </c>
      <c r="C6" s="6">
        <v>44666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1073711183.99</v>
      </c>
      <c r="E10" s="14">
        <v>1046352274.8200001</v>
      </c>
      <c r="F10" s="16">
        <v>0.8737036719009339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1073711183.99</v>
      </c>
      <c r="E11" s="14">
        <v>1046352274.8199999</v>
      </c>
      <c r="F11" s="16">
        <v>0.87370367190093379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395105738.94999999</v>
      </c>
      <c r="E13" s="14">
        <v>367746829.77999997</v>
      </c>
      <c r="F13" s="16">
        <v>0.92865361055555551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27358909.170000017</v>
      </c>
      <c r="C22" s="14">
        <v>98776.43</v>
      </c>
      <c r="D22" s="16">
        <v>69.088154469697017</v>
      </c>
      <c r="E22" s="16">
        <v>0.24943542929292928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27358909.170000017</v>
      </c>
      <c r="C27" s="14">
        <v>316418.09999999998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14800425.869999999</v>
      </c>
      <c r="I32" s="32"/>
      <c r="J32" s="17"/>
    </row>
    <row r="33" spans="1:10" ht="13.9" x14ac:dyDescent="0.25">
      <c r="A33" s="30" t="s">
        <v>28</v>
      </c>
      <c r="H33" s="33">
        <v>5400527.3499999996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20200953.219999999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341879.96</v>
      </c>
      <c r="I39" s="38"/>
      <c r="J39" s="17"/>
    </row>
    <row r="40" spans="1:10" ht="13.9" x14ac:dyDescent="0.25">
      <c r="A40" s="30" t="s">
        <v>33</v>
      </c>
      <c r="F40" s="17"/>
      <c r="H40" s="33">
        <v>318884.68</v>
      </c>
      <c r="I40" s="34"/>
      <c r="J40" s="17"/>
    </row>
    <row r="41" spans="1:10" ht="13.9" x14ac:dyDescent="0.25">
      <c r="A41" s="19" t="s">
        <v>34</v>
      </c>
      <c r="F41" s="41"/>
      <c r="H41" s="35">
        <v>660764.64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14868446.92</v>
      </c>
      <c r="I47" s="32"/>
      <c r="J47" s="17"/>
    </row>
    <row r="48" spans="1:10" ht="13.9" x14ac:dyDescent="0.25">
      <c r="A48" s="19" t="s">
        <v>39</v>
      </c>
      <c r="H48" s="31">
        <v>1090.05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2136659.58</v>
      </c>
      <c r="I50" s="32"/>
      <c r="J50" s="17"/>
    </row>
    <row r="51" spans="1:10" x14ac:dyDescent="0.25">
      <c r="A51" s="19" t="s">
        <v>42</v>
      </c>
      <c r="H51" s="42">
        <v>58870.43</v>
      </c>
      <c r="I51" s="43"/>
      <c r="J51" s="17"/>
    </row>
    <row r="52" spans="1:10" x14ac:dyDescent="0.25">
      <c r="A52" s="7" t="s">
        <v>43</v>
      </c>
      <c r="F52" s="17"/>
      <c r="H52" s="44">
        <v>37926784.840000004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476985</v>
      </c>
      <c r="F56" s="49"/>
      <c r="G56" s="50"/>
      <c r="H56" s="51">
        <v>16</v>
      </c>
      <c r="I56" s="41"/>
    </row>
    <row r="57" spans="1:10" x14ac:dyDescent="0.25">
      <c r="A57" s="19" t="s">
        <v>52</v>
      </c>
      <c r="E57" s="49">
        <v>191799</v>
      </c>
      <c r="F57" s="49"/>
      <c r="G57" s="50"/>
      <c r="H57" s="51">
        <v>8</v>
      </c>
      <c r="I57" s="41"/>
    </row>
    <row r="58" spans="1:10" x14ac:dyDescent="0.25">
      <c r="A58" s="19" t="s">
        <v>53</v>
      </c>
      <c r="E58" s="49">
        <v>184726</v>
      </c>
      <c r="F58" s="50"/>
      <c r="G58" s="50"/>
      <c r="H58" s="51">
        <v>6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29306</v>
      </c>
      <c r="F60" s="50"/>
      <c r="G60" s="50"/>
      <c r="H60" s="51">
        <v>1</v>
      </c>
    </row>
    <row r="61" spans="1:10" x14ac:dyDescent="0.25">
      <c r="A61" s="19" t="s">
        <v>56</v>
      </c>
      <c r="E61" s="49"/>
      <c r="F61" s="49">
        <v>2131656.66</v>
      </c>
      <c r="G61" s="50"/>
      <c r="H61" s="51">
        <v>76</v>
      </c>
    </row>
    <row r="62" spans="1:10" x14ac:dyDescent="0.25">
      <c r="A62" s="19" t="s">
        <v>57</v>
      </c>
      <c r="E62" s="49"/>
      <c r="F62" s="49"/>
      <c r="G62" s="50">
        <v>137789.53</v>
      </c>
      <c r="H62" s="51">
        <v>7</v>
      </c>
    </row>
    <row r="63" spans="1:10" x14ac:dyDescent="0.25">
      <c r="A63" s="19" t="s">
        <v>58</v>
      </c>
      <c r="E63" s="49"/>
      <c r="F63" s="52"/>
      <c r="G63" s="50">
        <v>13849863.869999999</v>
      </c>
      <c r="H63" s="51">
        <v>551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882816</v>
      </c>
      <c r="F65" s="54">
        <v>2131656.66</v>
      </c>
      <c r="G65" s="55">
        <v>13987653.399999999</v>
      </c>
      <c r="H65" s="56">
        <v>665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51344</v>
      </c>
      <c r="E71" s="62">
        <v>1234682421.8299999</v>
      </c>
      <c r="F71" s="63">
        <v>7.0000000000000007E-2</v>
      </c>
      <c r="G71" s="62">
        <v>1073711183.99</v>
      </c>
      <c r="H71" s="37"/>
      <c r="I71" s="41"/>
    </row>
    <row r="72" spans="1:10" x14ac:dyDescent="0.25">
      <c r="A72" s="19" t="s">
        <v>67</v>
      </c>
      <c r="D72" s="64"/>
      <c r="E72" s="65">
        <v>-16542196.220000001</v>
      </c>
      <c r="F72" s="66"/>
      <c r="G72" s="31">
        <v>-12891271.860000014</v>
      </c>
      <c r="H72" s="37"/>
      <c r="I72" s="41"/>
    </row>
    <row r="73" spans="1:10" x14ac:dyDescent="0.25">
      <c r="A73" s="19" t="s">
        <v>68</v>
      </c>
      <c r="D73" s="67">
        <v>-92</v>
      </c>
      <c r="E73" s="65">
        <v>-2112241.2999999998</v>
      </c>
      <c r="F73" s="66"/>
      <c r="G73" s="31">
        <v>-1871175.78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0</v>
      </c>
      <c r="E75" s="65">
        <v>0</v>
      </c>
      <c r="F75" s="66"/>
      <c r="G75" s="31">
        <v>0</v>
      </c>
      <c r="H75" s="37"/>
      <c r="I75" s="41"/>
    </row>
    <row r="76" spans="1:10" x14ac:dyDescent="0.25">
      <c r="A76" s="19" t="s">
        <v>71</v>
      </c>
      <c r="D76" s="67">
        <v>-578</v>
      </c>
      <c r="E76" s="65">
        <v>-14362242.390000001</v>
      </c>
      <c r="F76" s="68"/>
      <c r="G76" s="31">
        <v>-12596461.529999999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50674</v>
      </c>
      <c r="E77" s="71">
        <v>1201665741.9199998</v>
      </c>
      <c r="F77" s="72"/>
      <c r="G77" s="71">
        <v>1046352274.8200001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321387183.54000002</v>
      </c>
      <c r="H80" s="45"/>
      <c r="I80" s="41"/>
    </row>
    <row r="81" spans="1:10" x14ac:dyDescent="0.25">
      <c r="A81" s="76" t="s">
        <v>75</v>
      </c>
      <c r="C81" s="41"/>
      <c r="G81" s="53">
        <v>724965091.27999997</v>
      </c>
      <c r="H81" s="45"/>
      <c r="I81" s="41"/>
    </row>
    <row r="82" spans="1:10" x14ac:dyDescent="0.25">
      <c r="A82" s="77" t="s">
        <v>60</v>
      </c>
      <c r="C82" s="41"/>
      <c r="G82" s="78">
        <v>1046352274.8199999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37926784.839999996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37926784.839999996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970873.2</v>
      </c>
      <c r="J92" s="17"/>
    </row>
    <row r="93" spans="1:10" x14ac:dyDescent="0.25">
      <c r="A93" s="7" t="s">
        <v>81</v>
      </c>
      <c r="H93" s="84">
        <v>213868.67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894759.32</v>
      </c>
      <c r="J95" s="17"/>
    </row>
    <row r="96" spans="1:10" x14ac:dyDescent="0.25">
      <c r="A96" s="30" t="s">
        <v>84</v>
      </c>
      <c r="H96" s="81">
        <v>894759.32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2079501.19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98776.43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98776.43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316418.09999999998</v>
      </c>
      <c r="J150" s="17"/>
    </row>
    <row r="151" spans="1:10" x14ac:dyDescent="0.25">
      <c r="A151" s="88" t="s">
        <v>126</v>
      </c>
      <c r="H151" s="86">
        <v>316418.09999999998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35530865.549999997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27358909.170000017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27358909.170000017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8171956.3799999999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8171956.3799999952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14159983.609999996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8171956.3799999952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5988027.2300000004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18.059999999999999</v>
      </c>
      <c r="J193"/>
    </row>
    <row r="194" spans="1:10" ht="18" x14ac:dyDescent="0.25">
      <c r="A194" s="7" t="s">
        <v>154</v>
      </c>
      <c r="C194" s="2"/>
      <c r="D194" s="3"/>
      <c r="H194" s="92">
        <v>1.052226604894257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0.97675546310184325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2585252.59</v>
      </c>
    </row>
    <row r="199" spans="1:10" x14ac:dyDescent="0.25">
      <c r="A199" s="19" t="s">
        <v>159</v>
      </c>
      <c r="C199" s="2"/>
      <c r="D199" s="3"/>
      <c r="E199" s="17"/>
      <c r="G199" s="86">
        <v>1871175.78</v>
      </c>
      <c r="H199" s="95">
        <v>92</v>
      </c>
    </row>
    <row r="200" spans="1:10" x14ac:dyDescent="0.25">
      <c r="A200" s="19" t="s">
        <v>160</v>
      </c>
      <c r="C200" s="2"/>
      <c r="D200" s="3"/>
      <c r="E200" s="17"/>
      <c r="G200" s="86">
        <v>714076.80999999982</v>
      </c>
    </row>
    <row r="201" spans="1:10" x14ac:dyDescent="0.25">
      <c r="A201" s="19" t="s">
        <v>161</v>
      </c>
      <c r="C201" s="2"/>
      <c r="D201" s="3"/>
      <c r="E201" s="17"/>
      <c r="G201" s="86">
        <v>1073711183.99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6.6505483098949476E-4</v>
      </c>
    </row>
    <row r="204" spans="1:10" x14ac:dyDescent="0.25">
      <c r="A204" s="19" t="s">
        <v>164</v>
      </c>
      <c r="C204" s="2"/>
      <c r="D204" s="3"/>
      <c r="E204" s="17"/>
      <c r="G204" s="97">
        <v>2.080444E-4</v>
      </c>
    </row>
    <row r="205" spans="1:10" x14ac:dyDescent="0.25">
      <c r="A205" s="19" t="s">
        <v>165</v>
      </c>
      <c r="C205" s="2"/>
      <c r="D205" s="3"/>
      <c r="E205" s="17"/>
      <c r="G205" s="97">
        <v>4.4707759999999998E-4</v>
      </c>
    </row>
    <row r="206" spans="1:10" x14ac:dyDescent="0.25">
      <c r="A206" s="19" t="s">
        <v>166</v>
      </c>
      <c r="C206" s="2"/>
      <c r="D206" s="3"/>
      <c r="E206" s="17"/>
      <c r="G206" s="97">
        <v>3.9486700000000003E-4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-2.187621666927621E-3</v>
      </c>
      <c r="H208" s="68">
        <v>-2619907.62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2.8590996310499371E-3</v>
      </c>
      <c r="G211" s="91">
        <v>3069847.25</v>
      </c>
      <c r="H211" s="100">
        <v>144</v>
      </c>
    </row>
    <row r="212" spans="1:8" x14ac:dyDescent="0.25">
      <c r="A212" s="30" t="s">
        <v>172</v>
      </c>
      <c r="C212" s="2"/>
      <c r="D212" s="3"/>
      <c r="F212" s="99">
        <v>7.662462701959361E-4</v>
      </c>
      <c r="G212" s="91">
        <v>822727.19</v>
      </c>
      <c r="H212" s="100">
        <v>38</v>
      </c>
    </row>
    <row r="213" spans="1:8" x14ac:dyDescent="0.25">
      <c r="A213" s="30" t="s">
        <v>173</v>
      </c>
      <c r="C213" s="2"/>
      <c r="D213" s="3"/>
      <c r="F213" s="99">
        <v>3.0111142066953746E-4</v>
      </c>
      <c r="G213" s="91">
        <v>323306.7</v>
      </c>
      <c r="H213" s="100">
        <v>13</v>
      </c>
    </row>
    <row r="214" spans="1:8" x14ac:dyDescent="0.25">
      <c r="A214" s="30" t="s">
        <v>174</v>
      </c>
      <c r="C214" s="2"/>
      <c r="D214" s="3"/>
      <c r="F214" s="99">
        <v>2.2369218424964915E-5</v>
      </c>
      <c r="G214" s="101">
        <v>24018.080000000002</v>
      </c>
      <c r="H214" s="102">
        <v>1</v>
      </c>
    </row>
    <row r="215" spans="1:8" x14ac:dyDescent="0.25">
      <c r="A215" s="19" t="s">
        <v>175</v>
      </c>
      <c r="C215" s="2"/>
      <c r="D215" s="3"/>
      <c r="F215" s="99">
        <v>3.9264573219154105E-3</v>
      </c>
      <c r="G215" s="54">
        <v>4239899.22</v>
      </c>
      <c r="H215" s="103">
        <v>196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1.0897269092904384E-3</v>
      </c>
      <c r="H218" s="106">
        <v>1.0127765659083826E-3</v>
      </c>
    </row>
    <row r="219" spans="1:8" x14ac:dyDescent="0.25">
      <c r="A219" s="19" t="s">
        <v>164</v>
      </c>
      <c r="C219" s="2"/>
      <c r="D219" s="3"/>
      <c r="G219" s="105">
        <v>8.7805990000000003E-4</v>
      </c>
      <c r="H219" s="105">
        <v>8.2802180000000002E-4</v>
      </c>
    </row>
    <row r="220" spans="1:8" x14ac:dyDescent="0.25">
      <c r="A220" s="19" t="s">
        <v>165</v>
      </c>
      <c r="C220" s="2"/>
      <c r="D220" s="3"/>
      <c r="G220" s="105">
        <v>9.2817330000000001E-4</v>
      </c>
      <c r="H220" s="105">
        <v>9.334934E-4</v>
      </c>
    </row>
    <row r="221" spans="1:8" x14ac:dyDescent="0.25">
      <c r="A221" s="19" t="s">
        <v>166</v>
      </c>
      <c r="C221" s="2"/>
      <c r="D221" s="3"/>
      <c r="G221" s="105">
        <v>8.2759979999999999E-4</v>
      </c>
      <c r="H221" s="105">
        <v>8.1063249999999999E-4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1170051.97</v>
      </c>
      <c r="H223" s="105"/>
    </row>
    <row r="224" spans="1:8" x14ac:dyDescent="0.25">
      <c r="A224" s="108" t="s">
        <v>178</v>
      </c>
      <c r="C224" s="2"/>
      <c r="D224" s="3"/>
      <c r="G224" s="107">
        <v>1.0897269092904384E-3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476985</v>
      </c>
      <c r="H229" s="100">
        <v>16</v>
      </c>
    </row>
    <row r="230" spans="1:10" x14ac:dyDescent="0.25">
      <c r="A230" s="7" t="s">
        <v>183</v>
      </c>
      <c r="C230" s="2"/>
      <c r="D230" s="3"/>
      <c r="E230" s="17"/>
      <c r="G230" s="101">
        <v>423923.23</v>
      </c>
      <c r="H230" s="100">
        <v>16</v>
      </c>
    </row>
    <row r="231" spans="1:10" x14ac:dyDescent="0.25">
      <c r="A231" s="7" t="s">
        <v>184</v>
      </c>
      <c r="C231" s="2"/>
      <c r="D231" s="3"/>
      <c r="E231" s="17"/>
      <c r="G231" s="86">
        <v>53061.770000000019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1294983</v>
      </c>
      <c r="H234" s="112">
        <v>45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1122855.71</v>
      </c>
      <c r="H235" s="61">
        <v>45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172127.29000000004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305727.84999999998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213868.67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318884.68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410743.86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1798915.93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970873.2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341879.96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1169922.69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70"/>
  <sheetViews>
    <sheetView zoomScale="75" zoomScaleNormal="75" workbookViewId="0">
      <selection activeCell="C39" sqref="C39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85546875" style="1" bestFit="1" customWidth="1"/>
    <col min="4" max="4" width="37.85546875" style="1" customWidth="1"/>
    <col min="5" max="5" width="21.42578125" style="1" customWidth="1"/>
    <col min="6" max="6" width="23.42578125" style="1" customWidth="1"/>
    <col min="7" max="7" width="20.85546875" style="1" customWidth="1"/>
    <col min="8" max="8" width="18.140625" style="1" customWidth="1"/>
    <col min="9" max="9" width="15.140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44593</v>
      </c>
      <c r="D3" s="7" t="s">
        <v>1</v>
      </c>
      <c r="E3" s="8">
        <v>44635</v>
      </c>
    </row>
    <row r="4" spans="1:27" ht="13.9" x14ac:dyDescent="0.25">
      <c r="A4" s="5" t="s">
        <v>2</v>
      </c>
      <c r="C4" s="6">
        <v>44620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44607</v>
      </c>
      <c r="D5" s="7" t="s">
        <v>5</v>
      </c>
      <c r="E5" s="9">
        <v>28</v>
      </c>
    </row>
    <row r="6" spans="1:27" ht="13.9" x14ac:dyDescent="0.25">
      <c r="A6" s="5" t="s">
        <v>6</v>
      </c>
      <c r="C6" s="6">
        <v>44635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1099629532.7</v>
      </c>
      <c r="E10" s="14">
        <v>1073711183.99</v>
      </c>
      <c r="F10" s="16">
        <v>0.89654834857079169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1099629532.7</v>
      </c>
      <c r="E11" s="14">
        <v>1073711183.99</v>
      </c>
      <c r="F11" s="16">
        <v>0.89654834857079169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25024087.66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396000000</v>
      </c>
      <c r="E13" s="14">
        <v>395105738.94999999</v>
      </c>
      <c r="F13" s="16">
        <v>0.99774176502525247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25024087.66</v>
      </c>
      <c r="C21" s="14">
        <v>2919.48</v>
      </c>
      <c r="D21" s="16">
        <v>203.44786715447154</v>
      </c>
      <c r="E21" s="16">
        <v>2.3735609756097561E-2</v>
      </c>
      <c r="F21" s="23"/>
    </row>
    <row r="22" spans="1:10" ht="13.9" x14ac:dyDescent="0.25">
      <c r="A22" s="19" t="s">
        <v>16</v>
      </c>
      <c r="B22" s="14">
        <v>894261.05000004545</v>
      </c>
      <c r="C22" s="14">
        <v>99000</v>
      </c>
      <c r="D22" s="16">
        <v>2.2582349747475896</v>
      </c>
      <c r="E22" s="16">
        <v>0.25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25918348.710000046</v>
      </c>
      <c r="C27" s="14">
        <v>319561.14999999997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13254455.880000001</v>
      </c>
      <c r="I32" s="32"/>
      <c r="J32" s="17"/>
    </row>
    <row r="33" spans="1:10" ht="13.9" x14ac:dyDescent="0.25">
      <c r="A33" s="30" t="s">
        <v>28</v>
      </c>
      <c r="H33" s="33">
        <v>5197232.9400000004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18451688.82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945189.19</v>
      </c>
      <c r="I39" s="38"/>
      <c r="J39" s="17"/>
    </row>
    <row r="40" spans="1:10" ht="13.9" x14ac:dyDescent="0.25">
      <c r="A40" s="30" t="s">
        <v>33</v>
      </c>
      <c r="F40" s="17"/>
      <c r="H40" s="33">
        <v>277401.89</v>
      </c>
      <c r="I40" s="34"/>
      <c r="J40" s="17"/>
    </row>
    <row r="41" spans="1:10" ht="13.9" x14ac:dyDescent="0.25">
      <c r="A41" s="19" t="s">
        <v>34</v>
      </c>
      <c r="F41" s="41"/>
      <c r="H41" s="35">
        <v>1222591.08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12990730.459999999</v>
      </c>
      <c r="I47" s="32"/>
      <c r="J47" s="17"/>
    </row>
    <row r="48" spans="1:10" ht="13.9" x14ac:dyDescent="0.25">
      <c r="A48" s="19" t="s">
        <v>39</v>
      </c>
      <c r="H48" s="31">
        <v>0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1912687.44</v>
      </c>
      <c r="I50" s="32"/>
      <c r="J50" s="17"/>
    </row>
    <row r="51" spans="1:10" x14ac:dyDescent="0.25">
      <c r="A51" s="19" t="s">
        <v>42</v>
      </c>
      <c r="H51" s="42">
        <v>51372.71</v>
      </c>
      <c r="I51" s="43"/>
      <c r="J51" s="17"/>
    </row>
    <row r="52" spans="1:10" x14ac:dyDescent="0.25">
      <c r="A52" s="7" t="s">
        <v>43</v>
      </c>
      <c r="F52" s="17"/>
      <c r="H52" s="44">
        <v>34629070.509999998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433244</v>
      </c>
      <c r="F56" s="49"/>
      <c r="G56" s="50"/>
      <c r="H56" s="51">
        <v>16</v>
      </c>
      <c r="I56" s="41"/>
    </row>
    <row r="57" spans="1:10" x14ac:dyDescent="0.25">
      <c r="A57" s="19" t="s">
        <v>52</v>
      </c>
      <c r="E57" s="49">
        <v>139477</v>
      </c>
      <c r="F57" s="49"/>
      <c r="G57" s="50"/>
      <c r="H57" s="51">
        <v>6</v>
      </c>
      <c r="I57" s="41"/>
    </row>
    <row r="58" spans="1:10" x14ac:dyDescent="0.25">
      <c r="A58" s="19" t="s">
        <v>53</v>
      </c>
      <c r="E58" s="49">
        <v>145060</v>
      </c>
      <c r="F58" s="50"/>
      <c r="G58" s="50"/>
      <c r="H58" s="51">
        <v>5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1910427.99</v>
      </c>
      <c r="G61" s="50"/>
      <c r="H61" s="51">
        <v>67</v>
      </c>
    </row>
    <row r="62" spans="1:10" x14ac:dyDescent="0.25">
      <c r="A62" s="19" t="s">
        <v>57</v>
      </c>
      <c r="E62" s="49"/>
      <c r="F62" s="49"/>
      <c r="G62" s="50">
        <v>359767.46</v>
      </c>
      <c r="H62" s="51">
        <v>13</v>
      </c>
    </row>
    <row r="63" spans="1:10" x14ac:dyDescent="0.25">
      <c r="A63" s="19" t="s">
        <v>58</v>
      </c>
      <c r="E63" s="49"/>
      <c r="F63" s="52"/>
      <c r="G63" s="50">
        <v>11944892.26</v>
      </c>
      <c r="H63" s="51">
        <v>471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717781</v>
      </c>
      <c r="F65" s="54">
        <v>1910427.99</v>
      </c>
      <c r="G65" s="55">
        <v>12304659.720000001</v>
      </c>
      <c r="H65" s="56">
        <v>578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51931</v>
      </c>
      <c r="E71" s="62">
        <v>1266129743.3599999</v>
      </c>
      <c r="F71" s="63">
        <v>7.0000000000000007E-2</v>
      </c>
      <c r="G71" s="62">
        <v>1099629532.7</v>
      </c>
      <c r="H71" s="37"/>
      <c r="I71" s="41"/>
    </row>
    <row r="72" spans="1:10" x14ac:dyDescent="0.25">
      <c r="A72" s="19" t="s">
        <v>67</v>
      </c>
      <c r="D72" s="64"/>
      <c r="E72" s="65">
        <v>-16743960.34</v>
      </c>
      <c r="F72" s="66"/>
      <c r="G72" s="31">
        <v>-12975093.200000048</v>
      </c>
      <c r="H72" s="37"/>
      <c r="I72" s="41"/>
    </row>
    <row r="73" spans="1:10" x14ac:dyDescent="0.25">
      <c r="A73" s="19" t="s">
        <v>68</v>
      </c>
      <c r="D73" s="67">
        <v>-90</v>
      </c>
      <c r="E73" s="65">
        <v>-2221386.1800000002</v>
      </c>
      <c r="F73" s="66"/>
      <c r="G73" s="31">
        <v>-1970492.49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0</v>
      </c>
      <c r="E75" s="65">
        <v>0</v>
      </c>
      <c r="F75" s="66"/>
      <c r="G75" s="31">
        <v>0</v>
      </c>
      <c r="H75" s="37"/>
      <c r="I75" s="41"/>
    </row>
    <row r="76" spans="1:10" x14ac:dyDescent="0.25">
      <c r="A76" s="19" t="s">
        <v>71</v>
      </c>
      <c r="D76" s="67">
        <v>-497</v>
      </c>
      <c r="E76" s="65">
        <v>-12481975.01</v>
      </c>
      <c r="F76" s="68"/>
      <c r="G76" s="31">
        <v>-10972763.02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51344</v>
      </c>
      <c r="E77" s="71">
        <v>1234682421.8299999</v>
      </c>
      <c r="F77" s="72"/>
      <c r="G77" s="71">
        <v>1073711183.99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343346841.44999999</v>
      </c>
      <c r="H80" s="45"/>
      <c r="I80" s="41"/>
    </row>
    <row r="81" spans="1:10" x14ac:dyDescent="0.25">
      <c r="A81" s="76" t="s">
        <v>75</v>
      </c>
      <c r="C81" s="41"/>
      <c r="G81" s="53">
        <v>730364342.53999996</v>
      </c>
      <c r="H81" s="45"/>
      <c r="I81" s="41"/>
    </row>
    <row r="82" spans="1:10" x14ac:dyDescent="0.25">
      <c r="A82" s="77" t="s">
        <v>60</v>
      </c>
      <c r="C82" s="41"/>
      <c r="G82" s="78">
        <v>1073711183.99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34629070.509999998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34629070.509999998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400982.81</v>
      </c>
      <c r="J92" s="17"/>
    </row>
    <row r="93" spans="1:10" x14ac:dyDescent="0.25">
      <c r="A93" s="7" t="s">
        <v>81</v>
      </c>
      <c r="H93" s="84">
        <v>334945.26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916357.94</v>
      </c>
      <c r="J95" s="17"/>
    </row>
    <row r="96" spans="1:10" x14ac:dyDescent="0.25">
      <c r="A96" s="30" t="s">
        <v>84</v>
      </c>
      <c r="H96" s="81">
        <v>916357.94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1652286.01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2919.48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2919.48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99000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99000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319561.14999999997</v>
      </c>
      <c r="J150" s="17"/>
    </row>
    <row r="151" spans="1:10" x14ac:dyDescent="0.25">
      <c r="A151" s="88" t="s">
        <v>126</v>
      </c>
      <c r="H151" s="86">
        <v>319561.14999999997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32657223.349999998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25918348.710000046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25918348.710000046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6738874.6399999997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6738874.6399999978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12726901.869999997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6738874.6399999969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5988027.2300000004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19.059999999999999</v>
      </c>
      <c r="J193"/>
    </row>
    <row r="194" spans="1:10" ht="18" x14ac:dyDescent="0.25">
      <c r="A194" s="7" t="s">
        <v>154</v>
      </c>
      <c r="C194" s="2"/>
      <c r="D194" s="3"/>
      <c r="H194" s="92">
        <v>0.98898892768500979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0.96166123474336052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2199264.2799999998</v>
      </c>
    </row>
    <row r="199" spans="1:10" x14ac:dyDescent="0.25">
      <c r="A199" s="19" t="s">
        <v>159</v>
      </c>
      <c r="C199" s="2"/>
      <c r="D199" s="3"/>
      <c r="E199" s="17"/>
      <c r="G199" s="86">
        <v>1970492.49</v>
      </c>
      <c r="H199" s="95">
        <v>90</v>
      </c>
    </row>
    <row r="200" spans="1:10" x14ac:dyDescent="0.25">
      <c r="A200" s="19" t="s">
        <v>160</v>
      </c>
      <c r="C200" s="2"/>
      <c r="D200" s="3"/>
      <c r="E200" s="17"/>
      <c r="G200" s="86">
        <v>228771.7899999998</v>
      </c>
    </row>
    <row r="201" spans="1:10" x14ac:dyDescent="0.25">
      <c r="A201" s="19" t="s">
        <v>161</v>
      </c>
      <c r="C201" s="2"/>
      <c r="D201" s="3"/>
      <c r="E201" s="17"/>
      <c r="G201" s="86">
        <v>1099629532.7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2.0804442150464971E-4</v>
      </c>
    </row>
    <row r="204" spans="1:10" x14ac:dyDescent="0.25">
      <c r="A204" s="19" t="s">
        <v>164</v>
      </c>
      <c r="C204" s="2"/>
      <c r="D204" s="3"/>
      <c r="E204" s="17"/>
      <c r="G204" s="97">
        <v>4.4707759999999998E-4</v>
      </c>
    </row>
    <row r="205" spans="1:10" x14ac:dyDescent="0.25">
      <c r="A205" s="19" t="s">
        <v>165</v>
      </c>
      <c r="C205" s="2"/>
      <c r="D205" s="3"/>
      <c r="E205" s="17"/>
      <c r="G205" s="97">
        <v>3.9486700000000003E-4</v>
      </c>
    </row>
    <row r="206" spans="1:10" x14ac:dyDescent="0.25">
      <c r="A206" s="19" t="s">
        <v>166</v>
      </c>
      <c r="C206" s="2"/>
      <c r="D206" s="3"/>
      <c r="E206" s="17"/>
      <c r="G206" s="97">
        <v>2.615219E-4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-1.591367856494962E-3</v>
      </c>
      <c r="H208" s="68">
        <v>-1905830.8099999998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3.6385976012992178E-3</v>
      </c>
      <c r="G211" s="91">
        <v>4001109.38</v>
      </c>
      <c r="H211" s="100">
        <v>180</v>
      </c>
    </row>
    <row r="212" spans="1:8" x14ac:dyDescent="0.25">
      <c r="A212" s="30" t="s">
        <v>172</v>
      </c>
      <c r="C212" s="2"/>
      <c r="D212" s="3"/>
      <c r="F212" s="99">
        <v>7.5007942718197606E-4</v>
      </c>
      <c r="G212" s="91">
        <v>824809.49</v>
      </c>
      <c r="H212" s="100">
        <v>36</v>
      </c>
    </row>
    <row r="213" spans="1:8" x14ac:dyDescent="0.25">
      <c r="A213" s="30" t="s">
        <v>173</v>
      </c>
      <c r="C213" s="2"/>
      <c r="D213" s="3"/>
      <c r="F213" s="99">
        <v>1.0585092209573756E-4</v>
      </c>
      <c r="G213" s="91">
        <v>116396.8</v>
      </c>
      <c r="H213" s="100">
        <v>6</v>
      </c>
    </row>
    <row r="214" spans="1:8" x14ac:dyDescent="0.25">
      <c r="A214" s="30" t="s">
        <v>174</v>
      </c>
      <c r="C214" s="2"/>
      <c r="D214" s="3"/>
      <c r="F214" s="99">
        <v>2.2129507508088042E-5</v>
      </c>
      <c r="G214" s="101">
        <v>24334.26</v>
      </c>
      <c r="H214" s="102">
        <v>1</v>
      </c>
    </row>
    <row r="215" spans="1:8" x14ac:dyDescent="0.25">
      <c r="A215" s="19" t="s">
        <v>175</v>
      </c>
      <c r="C215" s="2"/>
      <c r="D215" s="3"/>
      <c r="F215" s="99">
        <v>4.4945279505769313E-3</v>
      </c>
      <c r="G215" s="54">
        <v>4966649.93</v>
      </c>
      <c r="H215" s="103">
        <v>223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8.7805985678580164E-4</v>
      </c>
      <c r="H218" s="106">
        <v>8.2802179815524444E-4</v>
      </c>
    </row>
    <row r="219" spans="1:8" x14ac:dyDescent="0.25">
      <c r="A219" s="19" t="s">
        <v>164</v>
      </c>
      <c r="C219" s="2"/>
      <c r="D219" s="3"/>
      <c r="G219" s="105">
        <v>9.2817330000000001E-4</v>
      </c>
      <c r="H219" s="105">
        <v>9.334934E-4</v>
      </c>
    </row>
    <row r="220" spans="1:8" x14ac:dyDescent="0.25">
      <c r="A220" s="19" t="s">
        <v>165</v>
      </c>
      <c r="C220" s="2"/>
      <c r="D220" s="3"/>
      <c r="G220" s="105">
        <v>8.2759979999999999E-4</v>
      </c>
      <c r="H220" s="105">
        <v>8.1063249999999999E-4</v>
      </c>
    </row>
    <row r="221" spans="1:8" x14ac:dyDescent="0.25">
      <c r="A221" s="19" t="s">
        <v>166</v>
      </c>
      <c r="C221" s="2"/>
      <c r="D221" s="3"/>
      <c r="G221" s="105">
        <v>4.7423849999999999E-4</v>
      </c>
      <c r="H221" s="105">
        <v>4.861267E-4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965540.55</v>
      </c>
      <c r="H223" s="105"/>
    </row>
    <row r="224" spans="1:8" x14ac:dyDescent="0.25">
      <c r="A224" s="108" t="s">
        <v>178</v>
      </c>
      <c r="C224" s="2"/>
      <c r="D224" s="3"/>
      <c r="G224" s="107">
        <v>8.7805985678580164E-4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433244</v>
      </c>
      <c r="H229" s="100">
        <v>16</v>
      </c>
    </row>
    <row r="230" spans="1:10" x14ac:dyDescent="0.25">
      <c r="A230" s="7" t="s">
        <v>183</v>
      </c>
      <c r="C230" s="2"/>
      <c r="D230" s="3"/>
      <c r="E230" s="17"/>
      <c r="G230" s="101">
        <v>388835</v>
      </c>
      <c r="H230" s="100">
        <v>16</v>
      </c>
    </row>
    <row r="231" spans="1:10" x14ac:dyDescent="0.25">
      <c r="A231" s="7" t="s">
        <v>184</v>
      </c>
      <c r="C231" s="2"/>
      <c r="D231" s="3"/>
      <c r="E231" s="17"/>
      <c r="G231" s="86">
        <v>44409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817998</v>
      </c>
      <c r="H234" s="112">
        <v>29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698932.48</v>
      </c>
      <c r="H235" s="61">
        <v>29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119065.52000000002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363271.22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334945.26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277401.89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305727.84999999998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1254709.55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400982.81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945189.19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1798915.93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270"/>
  <sheetViews>
    <sheetView zoomScale="75" zoomScaleNormal="75" workbookViewId="0">
      <selection activeCell="B14" sqref="B14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44562</v>
      </c>
      <c r="D3" s="7" t="s">
        <v>1</v>
      </c>
      <c r="E3" s="8">
        <v>44607</v>
      </c>
    </row>
    <row r="4" spans="1:27" ht="13.9" x14ac:dyDescent="0.25">
      <c r="A4" s="5" t="s">
        <v>2</v>
      </c>
      <c r="C4" s="6">
        <v>44592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44579</v>
      </c>
      <c r="D5" s="7" t="s">
        <v>5</v>
      </c>
      <c r="E5" s="9">
        <v>28</v>
      </c>
    </row>
    <row r="6" spans="1:27" ht="13.9" x14ac:dyDescent="0.25">
      <c r="A6" s="5" t="s">
        <v>6</v>
      </c>
      <c r="C6" s="6">
        <v>44607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1125314099.95</v>
      </c>
      <c r="E10" s="14">
        <v>1099629532.7</v>
      </c>
      <c r="F10" s="16">
        <v>0.9181901579140469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1125314099.95</v>
      </c>
      <c r="E11" s="14">
        <v>1099629532.7</v>
      </c>
      <c r="F11" s="16">
        <v>0.9181901579140469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50708654.909999996</v>
      </c>
      <c r="E12" s="14">
        <v>25024087.659999996</v>
      </c>
      <c r="F12" s="16">
        <v>0.20344786715447152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396000000</v>
      </c>
      <c r="E13" s="14">
        <v>396000000</v>
      </c>
      <c r="F13" s="16">
        <v>1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25684567.249999993</v>
      </c>
      <c r="C21" s="14">
        <v>5916.01</v>
      </c>
      <c r="D21" s="16">
        <v>208.81761991869914</v>
      </c>
      <c r="E21" s="16">
        <v>4.8097642276422763E-2</v>
      </c>
      <c r="F21" s="23"/>
    </row>
    <row r="22" spans="1:10" ht="13.9" x14ac:dyDescent="0.25">
      <c r="A22" s="19" t="s">
        <v>16</v>
      </c>
      <c r="B22" s="14">
        <v>0</v>
      </c>
      <c r="C22" s="14">
        <v>99000</v>
      </c>
      <c r="D22" s="16">
        <v>0</v>
      </c>
      <c r="E22" s="16">
        <v>0.25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25684567.249999993</v>
      </c>
      <c r="C27" s="14">
        <v>322557.68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13832003.93</v>
      </c>
      <c r="I32" s="32"/>
      <c r="J32" s="17"/>
    </row>
    <row r="33" spans="1:10" ht="13.9" x14ac:dyDescent="0.25">
      <c r="A33" s="30" t="s">
        <v>28</v>
      </c>
      <c r="H33" s="33">
        <v>5382166.6900000004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19214170.620000001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494212.96</v>
      </c>
      <c r="I39" s="38"/>
      <c r="J39" s="17"/>
    </row>
    <row r="40" spans="1:10" ht="13.9" x14ac:dyDescent="0.25">
      <c r="A40" s="30" t="s">
        <v>33</v>
      </c>
      <c r="F40" s="17"/>
      <c r="H40" s="33">
        <v>325734.18</v>
      </c>
      <c r="I40" s="34"/>
      <c r="J40" s="17"/>
    </row>
    <row r="41" spans="1:10" ht="13.9" x14ac:dyDescent="0.25">
      <c r="A41" s="19" t="s">
        <v>34</v>
      </c>
      <c r="F41" s="41"/>
      <c r="H41" s="35">
        <v>819947.14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12856048.299999999</v>
      </c>
      <c r="I47" s="32"/>
      <c r="J47" s="17"/>
    </row>
    <row r="48" spans="1:10" ht="13.9" x14ac:dyDescent="0.25">
      <c r="A48" s="19" t="s">
        <v>39</v>
      </c>
      <c r="H48" s="31">
        <v>0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1706166.55</v>
      </c>
      <c r="I50" s="32"/>
      <c r="J50" s="17"/>
    </row>
    <row r="51" spans="1:10" x14ac:dyDescent="0.25">
      <c r="A51" s="19" t="s">
        <v>42</v>
      </c>
      <c r="H51" s="42">
        <v>11995.81</v>
      </c>
      <c r="I51" s="43"/>
      <c r="J51" s="17"/>
    </row>
    <row r="52" spans="1:10" x14ac:dyDescent="0.25">
      <c r="A52" s="7" t="s">
        <v>43</v>
      </c>
      <c r="F52" s="17"/>
      <c r="H52" s="44">
        <v>34608328.420000002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135987</v>
      </c>
      <c r="F56" s="49"/>
      <c r="G56" s="50"/>
      <c r="H56" s="51">
        <v>6</v>
      </c>
      <c r="I56" s="41"/>
    </row>
    <row r="57" spans="1:10" x14ac:dyDescent="0.25">
      <c r="A57" s="19" t="s">
        <v>52</v>
      </c>
      <c r="E57" s="49">
        <v>113510</v>
      </c>
      <c r="F57" s="49"/>
      <c r="G57" s="50"/>
      <c r="H57" s="51">
        <v>4</v>
      </c>
      <c r="I57" s="41"/>
    </row>
    <row r="58" spans="1:10" x14ac:dyDescent="0.25">
      <c r="A58" s="19" t="s">
        <v>53</v>
      </c>
      <c r="E58" s="49">
        <v>111300</v>
      </c>
      <c r="F58" s="50"/>
      <c r="G58" s="50"/>
      <c r="H58" s="51">
        <v>3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1704714.12</v>
      </c>
      <c r="G61" s="50"/>
      <c r="H61" s="51">
        <v>59</v>
      </c>
    </row>
    <row r="62" spans="1:10" x14ac:dyDescent="0.25">
      <c r="A62" s="19" t="s">
        <v>57</v>
      </c>
      <c r="E62" s="49"/>
      <c r="F62" s="49"/>
      <c r="G62" s="50">
        <v>70789.960000000006</v>
      </c>
      <c r="H62" s="51">
        <v>3</v>
      </c>
    </row>
    <row r="63" spans="1:10" x14ac:dyDescent="0.25">
      <c r="A63" s="19" t="s">
        <v>58</v>
      </c>
      <c r="E63" s="49"/>
      <c r="F63" s="52"/>
      <c r="G63" s="50">
        <v>12426139.630000001</v>
      </c>
      <c r="H63" s="51">
        <v>471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360797</v>
      </c>
      <c r="F65" s="54">
        <v>1704714.12</v>
      </c>
      <c r="G65" s="55">
        <v>12496929.590000002</v>
      </c>
      <c r="H65" s="56">
        <v>546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52491</v>
      </c>
      <c r="E71" s="62">
        <v>1297505513.75</v>
      </c>
      <c r="F71" s="63">
        <v>7.0000000000000007E-2</v>
      </c>
      <c r="G71" s="62">
        <v>1125314099.95</v>
      </c>
      <c r="H71" s="37"/>
      <c r="I71" s="41"/>
    </row>
    <row r="72" spans="1:10" x14ac:dyDescent="0.25">
      <c r="A72" s="19" t="s">
        <v>67</v>
      </c>
      <c r="D72" s="64"/>
      <c r="E72" s="65">
        <v>-16966372.100000001</v>
      </c>
      <c r="F72" s="66"/>
      <c r="G72" s="31">
        <v>-13078615.25999999</v>
      </c>
      <c r="H72" s="37"/>
      <c r="I72" s="41"/>
    </row>
    <row r="73" spans="1:10" x14ac:dyDescent="0.25">
      <c r="A73" s="19" t="s">
        <v>68</v>
      </c>
      <c r="D73" s="67">
        <v>-68</v>
      </c>
      <c r="E73" s="65">
        <v>-1646052.73</v>
      </c>
      <c r="F73" s="66"/>
      <c r="G73" s="31">
        <v>-1428872.78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-2</v>
      </c>
      <c r="E75" s="65">
        <v>-41667.33</v>
      </c>
      <c r="F75" s="66"/>
      <c r="G75" s="31">
        <v>-37372.25</v>
      </c>
      <c r="H75" s="37"/>
      <c r="I75" s="41"/>
    </row>
    <row r="76" spans="1:10" x14ac:dyDescent="0.25">
      <c r="A76" s="19" t="s">
        <v>71</v>
      </c>
      <c r="D76" s="67">
        <v>-490</v>
      </c>
      <c r="E76" s="65">
        <v>-12721678.23</v>
      </c>
      <c r="F76" s="68"/>
      <c r="G76" s="31">
        <v>-11139706.960000001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51931</v>
      </c>
      <c r="E77" s="71">
        <v>1266129743.3600001</v>
      </c>
      <c r="F77" s="72"/>
      <c r="G77" s="71">
        <v>1099629532.7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365016956.82999998</v>
      </c>
      <c r="H80" s="45"/>
      <c r="I80" s="41"/>
    </row>
    <row r="81" spans="1:10" x14ac:dyDescent="0.25">
      <c r="A81" s="76" t="s">
        <v>75</v>
      </c>
      <c r="C81" s="41"/>
      <c r="G81" s="53">
        <v>734612575.87</v>
      </c>
      <c r="H81" s="45"/>
      <c r="I81" s="41"/>
    </row>
    <row r="82" spans="1:10" x14ac:dyDescent="0.25">
      <c r="A82" s="77" t="s">
        <v>60</v>
      </c>
      <c r="C82" s="41"/>
      <c r="G82" s="78">
        <v>1099629532.7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34608328.420000002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34608328.420000002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473880.74</v>
      </c>
      <c r="J92" s="17"/>
    </row>
    <row r="93" spans="1:10" x14ac:dyDescent="0.25">
      <c r="A93" s="7" t="s">
        <v>81</v>
      </c>
      <c r="H93" s="84">
        <v>33690.68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937761.75</v>
      </c>
      <c r="J95" s="17"/>
    </row>
    <row r="96" spans="1:10" x14ac:dyDescent="0.25">
      <c r="A96" s="30" t="s">
        <v>84</v>
      </c>
      <c r="H96" s="81">
        <v>937761.75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1445333.17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5916.01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5916.01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99000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99000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322557.68</v>
      </c>
      <c r="J150" s="17"/>
    </row>
    <row r="151" spans="1:10" x14ac:dyDescent="0.25">
      <c r="A151" s="88" t="s">
        <v>126</v>
      </c>
      <c r="H151" s="86">
        <v>322557.68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32840437.57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25684567.249999993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25684567.249999993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7155870.3200000003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7155870.3200000003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13143897.550000001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7155870.3200000022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5988027.2299999986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20.05</v>
      </c>
      <c r="J193"/>
    </row>
    <row r="194" spans="1:10" ht="18" x14ac:dyDescent="0.25">
      <c r="A194" s="7" t="s">
        <v>154</v>
      </c>
      <c r="C194" s="2"/>
      <c r="D194" s="3"/>
      <c r="H194" s="92">
        <v>0.9998403566439239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0.95482931150794825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1931975.55</v>
      </c>
    </row>
    <row r="199" spans="1:10" x14ac:dyDescent="0.25">
      <c r="A199" s="19" t="s">
        <v>159</v>
      </c>
      <c r="C199" s="2"/>
      <c r="D199" s="3"/>
      <c r="E199" s="17"/>
      <c r="G199" s="86">
        <v>1428872.78</v>
      </c>
      <c r="H199" s="95">
        <v>68</v>
      </c>
    </row>
    <row r="200" spans="1:10" x14ac:dyDescent="0.25">
      <c r="A200" s="19" t="s">
        <v>160</v>
      </c>
      <c r="C200" s="2"/>
      <c r="D200" s="3"/>
      <c r="E200" s="17"/>
      <c r="G200" s="86">
        <v>503102.77</v>
      </c>
    </row>
    <row r="201" spans="1:10" x14ac:dyDescent="0.25">
      <c r="A201" s="19" t="s">
        <v>161</v>
      </c>
      <c r="C201" s="2"/>
      <c r="D201" s="3"/>
      <c r="E201" s="17"/>
      <c r="G201" s="86">
        <v>1125314099.95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4.4707763816551651E-4</v>
      </c>
    </row>
    <row r="204" spans="1:10" x14ac:dyDescent="0.25">
      <c r="A204" s="19" t="s">
        <v>164</v>
      </c>
      <c r="C204" s="2"/>
      <c r="D204" s="3"/>
      <c r="E204" s="17"/>
      <c r="G204" s="97">
        <v>3.9486700000000003E-4</v>
      </c>
    </row>
    <row r="205" spans="1:10" x14ac:dyDescent="0.25">
      <c r="A205" s="19" t="s">
        <v>165</v>
      </c>
      <c r="C205" s="2"/>
      <c r="D205" s="3"/>
      <c r="E205" s="17"/>
      <c r="G205" s="97">
        <v>2.615219E-4</v>
      </c>
    </row>
    <row r="206" spans="1:10" x14ac:dyDescent="0.25">
      <c r="A206" s="19" t="s">
        <v>166</v>
      </c>
      <c r="C206" s="2"/>
      <c r="D206" s="3"/>
      <c r="E206" s="17"/>
      <c r="G206" s="97">
        <v>3.4426189999999998E-4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-1.4003435162604711E-3</v>
      </c>
      <c r="H208" s="68">
        <v>-1677059.02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2.9584278115309505E-3</v>
      </c>
      <c r="G211" s="91">
        <v>3329160.53</v>
      </c>
      <c r="H211" s="100">
        <v>144</v>
      </c>
    </row>
    <row r="212" spans="1:8" x14ac:dyDescent="0.25">
      <c r="A212" s="30" t="s">
        <v>172</v>
      </c>
      <c r="C212" s="2"/>
      <c r="D212" s="3"/>
      <c r="F212" s="99">
        <v>6.4645500312519215E-4</v>
      </c>
      <c r="G212" s="91">
        <v>727464.93</v>
      </c>
      <c r="H212" s="100">
        <v>33</v>
      </c>
    </row>
    <row r="213" spans="1:8" x14ac:dyDescent="0.25">
      <c r="A213" s="30" t="s">
        <v>173</v>
      </c>
      <c r="C213" s="2"/>
      <c r="D213" s="3"/>
      <c r="F213" s="99">
        <v>1.917159840168943E-4</v>
      </c>
      <c r="G213" s="91">
        <v>215740.7</v>
      </c>
      <c r="H213" s="100">
        <v>11</v>
      </c>
    </row>
    <row r="214" spans="1:8" x14ac:dyDescent="0.25">
      <c r="A214" s="30" t="s">
        <v>174</v>
      </c>
      <c r="C214" s="2"/>
      <c r="D214" s="3"/>
      <c r="F214" s="99">
        <v>9.000227581303754E-5</v>
      </c>
      <c r="G214" s="101">
        <v>101280.83</v>
      </c>
      <c r="H214" s="102">
        <v>5</v>
      </c>
    </row>
    <row r="215" spans="1:8" x14ac:dyDescent="0.25">
      <c r="A215" s="19" t="s">
        <v>175</v>
      </c>
      <c r="C215" s="2"/>
      <c r="D215" s="3"/>
      <c r="F215" s="99">
        <v>3.796598798673037E-3</v>
      </c>
      <c r="G215" s="54">
        <v>4373646.99</v>
      </c>
      <c r="H215" s="103">
        <v>193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9.2817326295512395E-4</v>
      </c>
      <c r="H218" s="106">
        <v>9.3349336076660764E-4</v>
      </c>
    </row>
    <row r="219" spans="1:8" x14ac:dyDescent="0.25">
      <c r="A219" s="19" t="s">
        <v>164</v>
      </c>
      <c r="C219" s="2"/>
      <c r="D219" s="3"/>
      <c r="G219" s="105">
        <v>8.2759979999999999E-4</v>
      </c>
      <c r="H219" s="105">
        <v>8.1063249999999999E-4</v>
      </c>
    </row>
    <row r="220" spans="1:8" x14ac:dyDescent="0.25">
      <c r="A220" s="19" t="s">
        <v>165</v>
      </c>
      <c r="C220" s="2"/>
      <c r="D220" s="3"/>
      <c r="G220" s="105">
        <v>4.7423849999999999E-4</v>
      </c>
      <c r="H220" s="105">
        <v>4.861267E-4</v>
      </c>
    </row>
    <row r="221" spans="1:8" x14ac:dyDescent="0.25">
      <c r="A221" s="19" t="s">
        <v>166</v>
      </c>
      <c r="C221" s="2"/>
      <c r="D221" s="3"/>
      <c r="G221" s="105">
        <v>0</v>
      </c>
      <c r="H221" s="105">
        <v>0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1091948.06</v>
      </c>
      <c r="H223" s="105"/>
    </row>
    <row r="224" spans="1:8" x14ac:dyDescent="0.25">
      <c r="A224" s="108" t="s">
        <v>178</v>
      </c>
      <c r="C224" s="2"/>
      <c r="D224" s="3"/>
      <c r="G224" s="107">
        <v>9.7034957621922404E-4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135987</v>
      </c>
      <c r="H229" s="100">
        <v>6</v>
      </c>
    </row>
    <row r="230" spans="1:10" x14ac:dyDescent="0.25">
      <c r="A230" s="7" t="s">
        <v>183</v>
      </c>
      <c r="C230" s="2"/>
      <c r="D230" s="3"/>
      <c r="E230" s="17"/>
      <c r="G230" s="101">
        <v>123991.19</v>
      </c>
      <c r="H230" s="100">
        <v>6</v>
      </c>
    </row>
    <row r="231" spans="1:10" x14ac:dyDescent="0.25">
      <c r="A231" s="7" t="s">
        <v>184</v>
      </c>
      <c r="C231" s="2"/>
      <c r="D231" s="3"/>
      <c r="E231" s="17"/>
      <c r="G231" s="86">
        <v>11995.809999999998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384754</v>
      </c>
      <c r="H234" s="112">
        <v>13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310097.48</v>
      </c>
      <c r="H235" s="61">
        <v>13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74656.520000000019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71227.72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33690.68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325734.18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363271.22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1234377.33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473880.74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494212.96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1254709.55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4C81-C2C4-464A-81CC-72E390C4EEF5}">
  <sheetPr>
    <pageSetUpPr fitToPage="1"/>
  </sheetPr>
  <dimension ref="A1:AA270"/>
  <sheetViews>
    <sheetView zoomScale="75" zoomScaleNormal="75" workbookViewId="0">
      <selection activeCell="H12" sqref="H12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85546875" style="1" bestFit="1" customWidth="1"/>
    <col min="4" max="4" width="37.85546875" style="1" customWidth="1"/>
    <col min="5" max="5" width="21.42578125" style="1" customWidth="1"/>
    <col min="6" max="6" width="23.42578125" style="1" customWidth="1"/>
    <col min="7" max="7" width="20.85546875" style="1" customWidth="1"/>
    <col min="8" max="8" width="18.140625" style="1" customWidth="1"/>
    <col min="9" max="9" width="15.140625" style="1" customWidth="1"/>
    <col min="10" max="16384" width="34.42578125" style="1"/>
  </cols>
  <sheetData>
    <row r="1" spans="1:27" x14ac:dyDescent="0.25">
      <c r="Z1" s="2"/>
      <c r="AA1" s="3"/>
    </row>
    <row r="2" spans="1:27" x14ac:dyDescent="0.25">
      <c r="A2" s="4"/>
    </row>
    <row r="3" spans="1:27" x14ac:dyDescent="0.25">
      <c r="A3" s="5" t="s">
        <v>0</v>
      </c>
      <c r="C3" s="6">
        <v>44866</v>
      </c>
      <c r="D3" s="7" t="s">
        <v>1</v>
      </c>
      <c r="E3" s="8">
        <v>44910</v>
      </c>
    </row>
    <row r="4" spans="1:27" x14ac:dyDescent="0.25">
      <c r="A4" s="5" t="s">
        <v>2</v>
      </c>
      <c r="C4" s="6">
        <v>44895</v>
      </c>
      <c r="D4" s="7" t="s">
        <v>3</v>
      </c>
      <c r="E4" s="9">
        <v>30</v>
      </c>
    </row>
    <row r="5" spans="1:27" x14ac:dyDescent="0.25">
      <c r="A5" s="5" t="s">
        <v>4</v>
      </c>
      <c r="C5" s="6">
        <v>44880</v>
      </c>
      <c r="D5" s="7" t="s">
        <v>5</v>
      </c>
      <c r="E5" s="9">
        <v>30</v>
      </c>
    </row>
    <row r="6" spans="1:27" x14ac:dyDescent="0.25">
      <c r="A6" s="5" t="s">
        <v>6</v>
      </c>
      <c r="C6" s="6">
        <v>44910</v>
      </c>
      <c r="E6" s="3"/>
    </row>
    <row r="7" spans="1:27" x14ac:dyDescent="0.25">
      <c r="A7" s="5"/>
      <c r="B7" s="10"/>
      <c r="F7" s="11"/>
    </row>
    <row r="8" spans="1:27" x14ac:dyDescent="0.25">
      <c r="A8" s="7" t="s">
        <v>7</v>
      </c>
    </row>
    <row r="9" spans="1:27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x14ac:dyDescent="0.25">
      <c r="A10" s="7" t="s">
        <v>13</v>
      </c>
      <c r="B10" s="13"/>
      <c r="C10" s="14">
        <v>1197605445.04</v>
      </c>
      <c r="D10" s="15">
        <v>833843083.86000001</v>
      </c>
      <c r="E10" s="14">
        <v>784661821.29999995</v>
      </c>
      <c r="F10" s="16">
        <v>0.65519226265190555</v>
      </c>
      <c r="G10" s="17"/>
      <c r="H10" s="18"/>
    </row>
    <row r="11" spans="1:27" x14ac:dyDescent="0.25">
      <c r="A11" s="7" t="s">
        <v>14</v>
      </c>
      <c r="B11" s="7"/>
      <c r="C11" s="14">
        <v>1197605445.04</v>
      </c>
      <c r="D11" s="15">
        <v>833843083.8599999</v>
      </c>
      <c r="E11" s="14">
        <v>784661821.29999995</v>
      </c>
      <c r="F11" s="16">
        <v>0.65519226265190555</v>
      </c>
    </row>
    <row r="12" spans="1:27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x14ac:dyDescent="0.25">
      <c r="A13" s="19" t="s">
        <v>16</v>
      </c>
      <c r="B13" s="20">
        <v>3.0000000000000001E-3</v>
      </c>
      <c r="C13" s="14">
        <v>396000000</v>
      </c>
      <c r="D13" s="15">
        <v>155237638.81999999</v>
      </c>
      <c r="E13" s="14">
        <v>106056376.25999999</v>
      </c>
      <c r="F13" s="16">
        <v>0.26781913196969692</v>
      </c>
      <c r="G13" s="17"/>
    </row>
    <row r="14" spans="1:27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x14ac:dyDescent="0.25">
      <c r="A18" s="19"/>
      <c r="B18" s="22"/>
      <c r="C18" s="23"/>
      <c r="D18" s="23"/>
      <c r="E18" s="23"/>
      <c r="F18" s="23"/>
    </row>
    <row r="19" spans="1:10" x14ac:dyDescent="0.25">
      <c r="A19" s="19"/>
      <c r="B19" s="22"/>
      <c r="F19" s="23"/>
      <c r="G19" s="17"/>
    </row>
    <row r="20" spans="1:10" ht="30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x14ac:dyDescent="0.25">
      <c r="A22" s="19" t="s">
        <v>16</v>
      </c>
      <c r="B22" s="14">
        <v>49181262.560000084</v>
      </c>
      <c r="C22" s="14">
        <v>38809.410000000003</v>
      </c>
      <c r="D22" s="16">
        <v>124.19510747474769</v>
      </c>
      <c r="E22" s="16">
        <v>9.8003560606060622E-2</v>
      </c>
      <c r="F22" s="23"/>
    </row>
    <row r="23" spans="1:10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x14ac:dyDescent="0.25">
      <c r="A27" s="7" t="s">
        <v>14</v>
      </c>
      <c r="B27" s="14">
        <v>49181262.560000084</v>
      </c>
      <c r="C27" s="14">
        <v>256451.08000000002</v>
      </c>
      <c r="D27" s="25"/>
      <c r="E27" s="26"/>
      <c r="F27" s="27"/>
    </row>
    <row r="28" spans="1:10" x14ac:dyDescent="0.25">
      <c r="A28" s="7"/>
      <c r="B28" s="27"/>
      <c r="D28" s="28"/>
      <c r="E28" s="28"/>
      <c r="F28" s="27"/>
    </row>
    <row r="29" spans="1:10" x14ac:dyDescent="0.25">
      <c r="A29" s="7" t="s">
        <v>25</v>
      </c>
      <c r="B29" s="27"/>
      <c r="D29" s="28"/>
      <c r="E29" s="28"/>
    </row>
    <row r="30" spans="1:10" x14ac:dyDescent="0.25">
      <c r="A30" s="7"/>
    </row>
    <row r="31" spans="1:10" x14ac:dyDescent="0.25">
      <c r="A31" s="29" t="s">
        <v>26</v>
      </c>
    </row>
    <row r="32" spans="1:10" x14ac:dyDescent="0.25">
      <c r="A32" s="30" t="s">
        <v>27</v>
      </c>
      <c r="H32" s="31">
        <v>11227654.810000001</v>
      </c>
      <c r="I32" s="32"/>
      <c r="J32" s="17"/>
    </row>
    <row r="33" spans="1:10" x14ac:dyDescent="0.25">
      <c r="A33" s="30" t="s">
        <v>28</v>
      </c>
      <c r="H33" s="33">
        <v>4393815.3099999996</v>
      </c>
      <c r="I33" s="34"/>
      <c r="J33" s="17"/>
    </row>
    <row r="34" spans="1:10" x14ac:dyDescent="0.25">
      <c r="A34" s="7" t="s">
        <v>29</v>
      </c>
      <c r="E34" s="28"/>
      <c r="F34" s="17"/>
      <c r="H34" s="35">
        <v>15621470.120000001</v>
      </c>
      <c r="I34" s="36"/>
      <c r="J34" s="17"/>
    </row>
    <row r="35" spans="1:10" x14ac:dyDescent="0.25">
      <c r="A35" s="7"/>
      <c r="E35" s="28"/>
      <c r="F35" s="17"/>
      <c r="H35" s="37"/>
      <c r="I35" s="36"/>
    </row>
    <row r="36" spans="1:10" x14ac:dyDescent="0.25">
      <c r="A36" s="7" t="s">
        <v>30</v>
      </c>
      <c r="H36" s="35">
        <v>0</v>
      </c>
      <c r="I36" s="38"/>
      <c r="J36" s="17"/>
    </row>
    <row r="37" spans="1:10" x14ac:dyDescent="0.25">
      <c r="A37" s="7"/>
      <c r="I37" s="7"/>
    </row>
    <row r="38" spans="1:10" x14ac:dyDescent="0.25">
      <c r="A38" s="29" t="s">
        <v>31</v>
      </c>
      <c r="I38" s="7"/>
    </row>
    <row r="39" spans="1:10" x14ac:dyDescent="0.25">
      <c r="A39" s="30" t="s">
        <v>32</v>
      </c>
      <c r="D39" s="39"/>
      <c r="H39" s="40">
        <v>557145.82999999996</v>
      </c>
      <c r="I39" s="38"/>
      <c r="J39" s="17"/>
    </row>
    <row r="40" spans="1:10" x14ac:dyDescent="0.25">
      <c r="A40" s="30" t="s">
        <v>33</v>
      </c>
      <c r="F40" s="17"/>
      <c r="H40" s="33">
        <v>2333968.02</v>
      </c>
      <c r="I40" s="34"/>
      <c r="J40" s="17"/>
    </row>
    <row r="41" spans="1:10" x14ac:dyDescent="0.25">
      <c r="A41" s="19" t="s">
        <v>34</v>
      </c>
      <c r="F41" s="41"/>
      <c r="H41" s="35">
        <v>2891113.85</v>
      </c>
      <c r="I41" s="36"/>
      <c r="J41" s="17"/>
    </row>
    <row r="42" spans="1:10" x14ac:dyDescent="0.25">
      <c r="A42" s="30"/>
      <c r="G42" s="17"/>
      <c r="H42" s="37"/>
      <c r="I42" s="38"/>
    </row>
    <row r="43" spans="1:10" x14ac:dyDescent="0.25">
      <c r="A43" s="7"/>
      <c r="I43" s="7"/>
    </row>
    <row r="44" spans="1:10" x14ac:dyDescent="0.25">
      <c r="A44" s="29" t="s">
        <v>35</v>
      </c>
      <c r="I44" s="7"/>
    </row>
    <row r="45" spans="1:10" x14ac:dyDescent="0.25">
      <c r="A45" s="19" t="s">
        <v>36</v>
      </c>
      <c r="G45"/>
      <c r="H45" s="35">
        <v>0</v>
      </c>
      <c r="I45" s="36"/>
      <c r="J45" s="17"/>
    </row>
    <row r="46" spans="1:10" x14ac:dyDescent="0.25">
      <c r="A46" s="19" t="s">
        <v>37</v>
      </c>
      <c r="H46" s="40">
        <v>0</v>
      </c>
      <c r="I46" s="38"/>
      <c r="J46" s="17"/>
    </row>
    <row r="47" spans="1:10" x14ac:dyDescent="0.25">
      <c r="A47" s="19" t="s">
        <v>38</v>
      </c>
      <c r="F47" s="17"/>
      <c r="G47" s="32"/>
      <c r="H47" s="31">
        <v>39667195.739999995</v>
      </c>
      <c r="I47" s="32"/>
      <c r="J47" s="17"/>
    </row>
    <row r="48" spans="1:10" x14ac:dyDescent="0.25">
      <c r="A48" s="19" t="s">
        <v>39</v>
      </c>
      <c r="H48" s="31">
        <v>8598.44</v>
      </c>
      <c r="I48" s="32"/>
      <c r="J48" s="17"/>
    </row>
    <row r="49" spans="1:10" x14ac:dyDescent="0.25">
      <c r="A49" s="19" t="s">
        <v>40</v>
      </c>
      <c r="H49" s="40">
        <v>0</v>
      </c>
      <c r="I49" s="38"/>
      <c r="J49" s="17"/>
    </row>
    <row r="50" spans="1:10" x14ac:dyDescent="0.25">
      <c r="A50" s="19" t="s">
        <v>41</v>
      </c>
      <c r="H50" s="31">
        <v>1690490.4000000001</v>
      </c>
      <c r="I50" s="32"/>
      <c r="J50" s="17"/>
    </row>
    <row r="51" spans="1:10" x14ac:dyDescent="0.25">
      <c r="A51" s="19" t="s">
        <v>42</v>
      </c>
      <c r="H51" s="42">
        <v>247445.79</v>
      </c>
      <c r="I51" s="43"/>
      <c r="J51" s="17"/>
    </row>
    <row r="52" spans="1:10" x14ac:dyDescent="0.25">
      <c r="A52" s="7" t="s">
        <v>43</v>
      </c>
      <c r="F52" s="17"/>
      <c r="H52" s="44">
        <v>60126314.339999996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1406712</v>
      </c>
      <c r="F56" s="49"/>
      <c r="G56" s="50"/>
      <c r="H56" s="51">
        <v>54</v>
      </c>
      <c r="I56" s="41"/>
    </row>
    <row r="57" spans="1:10" x14ac:dyDescent="0.25">
      <c r="A57" s="19" t="s">
        <v>52</v>
      </c>
      <c r="E57" s="49">
        <v>114876</v>
      </c>
      <c r="F57" s="49"/>
      <c r="G57" s="50"/>
      <c r="H57" s="51">
        <v>6</v>
      </c>
      <c r="I57" s="41"/>
    </row>
    <row r="58" spans="1:10" x14ac:dyDescent="0.25">
      <c r="A58" s="19" t="s">
        <v>53</v>
      </c>
      <c r="E58" s="49">
        <v>96574.05</v>
      </c>
      <c r="F58" s="50"/>
      <c r="G58" s="50"/>
      <c r="H58" s="51">
        <v>4</v>
      </c>
    </row>
    <row r="59" spans="1:10" x14ac:dyDescent="0.25">
      <c r="A59" s="19" t="s">
        <v>54</v>
      </c>
      <c r="E59" s="49">
        <v>455486</v>
      </c>
      <c r="F59" s="50"/>
      <c r="G59" s="50"/>
      <c r="H59" s="51">
        <v>18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1689022.08</v>
      </c>
      <c r="G61" s="50"/>
      <c r="H61" s="51">
        <v>66</v>
      </c>
    </row>
    <row r="62" spans="1:10" x14ac:dyDescent="0.25">
      <c r="A62" s="19" t="s">
        <v>57</v>
      </c>
      <c r="E62" s="49"/>
      <c r="F62" s="49"/>
      <c r="G62" s="50">
        <v>6367115.0199999996</v>
      </c>
      <c r="H62" s="51">
        <v>313</v>
      </c>
    </row>
    <row r="63" spans="1:10" x14ac:dyDescent="0.25">
      <c r="A63" s="19" t="s">
        <v>58</v>
      </c>
      <c r="E63" s="49"/>
      <c r="F63" s="52"/>
      <c r="G63" s="50">
        <v>31366866.789999999</v>
      </c>
      <c r="H63" s="51">
        <v>1586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2073648.05</v>
      </c>
      <c r="F65" s="54">
        <v>1689022.08</v>
      </c>
      <c r="G65" s="55">
        <v>37733981.810000002</v>
      </c>
      <c r="H65" s="56">
        <v>2047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44211</v>
      </c>
      <c r="E71" s="62">
        <v>950548229.29999995</v>
      </c>
      <c r="F71" s="63">
        <v>7.0000000000000007E-2</v>
      </c>
      <c r="G71" s="62">
        <v>833843083.86000001</v>
      </c>
      <c r="H71" s="37"/>
      <c r="I71" s="41"/>
    </row>
    <row r="72" spans="1:10" x14ac:dyDescent="0.25">
      <c r="A72" s="19" t="s">
        <v>67</v>
      </c>
      <c r="D72" s="64"/>
      <c r="E72" s="65">
        <v>-13805680.07</v>
      </c>
      <c r="F72" s="66"/>
      <c r="G72" s="31">
        <v>-10950649.910000086</v>
      </c>
      <c r="H72" s="37"/>
      <c r="I72" s="41"/>
    </row>
    <row r="73" spans="1:10" x14ac:dyDescent="0.25">
      <c r="A73" s="19" t="s">
        <v>68</v>
      </c>
      <c r="D73" s="67">
        <v>-87</v>
      </c>
      <c r="E73" s="65">
        <v>-1763200.91</v>
      </c>
      <c r="F73" s="66"/>
      <c r="G73" s="31">
        <v>-1556980.85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-22</v>
      </c>
      <c r="E75" s="65">
        <v>-669932.5</v>
      </c>
      <c r="F75" s="66"/>
      <c r="G75" s="31">
        <v>-528140.14</v>
      </c>
      <c r="H75" s="37"/>
      <c r="I75" s="41"/>
    </row>
    <row r="76" spans="1:10" x14ac:dyDescent="0.25">
      <c r="A76" s="19" t="s">
        <v>71</v>
      </c>
      <c r="D76" s="67">
        <v>-2012</v>
      </c>
      <c r="E76" s="65">
        <v>-40472455.549999997</v>
      </c>
      <c r="F76" s="68"/>
      <c r="G76" s="31">
        <v>-36145491.659999996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42090</v>
      </c>
      <c r="E77" s="71">
        <v>893836960.26999998</v>
      </c>
      <c r="F77" s="72"/>
      <c r="G77" s="71">
        <v>784661821.29999995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162538674.97</v>
      </c>
      <c r="H80" s="45"/>
      <c r="I80" s="41"/>
    </row>
    <row r="81" spans="1:10" x14ac:dyDescent="0.25">
      <c r="A81" s="76" t="s">
        <v>75</v>
      </c>
      <c r="C81" s="41"/>
      <c r="G81" s="53">
        <v>622123146.33000004</v>
      </c>
      <c r="H81" s="45"/>
      <c r="I81" s="41"/>
    </row>
    <row r="82" spans="1:10" x14ac:dyDescent="0.25">
      <c r="A82" s="77" t="s">
        <v>60</v>
      </c>
      <c r="C82" s="41"/>
      <c r="G82" s="78">
        <v>784661821.30000007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60126314.339999996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60126314.339999996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483582.22</v>
      </c>
      <c r="J92" s="17"/>
    </row>
    <row r="93" spans="1:10" x14ac:dyDescent="0.25">
      <c r="A93" s="7" t="s">
        <v>81</v>
      </c>
      <c r="H93" s="84">
        <v>919312.59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694869.24</v>
      </c>
      <c r="J95" s="17"/>
    </row>
    <row r="96" spans="1:10" x14ac:dyDescent="0.25">
      <c r="A96" s="30" t="s">
        <v>84</v>
      </c>
      <c r="H96" s="81">
        <v>694869.24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2097764.0499999998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38809.410000000003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38809.410000000003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256451.08000000002</v>
      </c>
      <c r="J150" s="17"/>
    </row>
    <row r="151" spans="1:10" x14ac:dyDescent="0.25">
      <c r="A151" s="88" t="s">
        <v>126</v>
      </c>
      <c r="H151" s="86">
        <v>256451.08000000002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57772099.209999993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49181262.560000084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49181262.560000084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8590836.6500000004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8590836.6499999911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14578863.879999992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8590836.6499999929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5988027.2299999986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10.88</v>
      </c>
      <c r="J193"/>
    </row>
    <row r="194" spans="1:10" ht="18" x14ac:dyDescent="0.25">
      <c r="A194" s="7" t="s">
        <v>154</v>
      </c>
      <c r="C194" s="2"/>
      <c r="D194" s="3"/>
      <c r="H194" s="92">
        <v>1.0024331009005065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1.0031107784676254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1981270.39</v>
      </c>
    </row>
    <row r="199" spans="1:10" x14ac:dyDescent="0.25">
      <c r="A199" s="19" t="s">
        <v>159</v>
      </c>
      <c r="C199" s="2"/>
      <c r="D199" s="3"/>
      <c r="E199" s="17"/>
      <c r="G199" s="86">
        <v>1556980.85</v>
      </c>
      <c r="H199" s="95">
        <v>87</v>
      </c>
    </row>
    <row r="200" spans="1:10" x14ac:dyDescent="0.25">
      <c r="A200" s="19" t="s">
        <v>160</v>
      </c>
      <c r="C200" s="2"/>
      <c r="D200" s="3"/>
      <c r="E200" s="17"/>
      <c r="G200" s="86">
        <v>424289.5399999998</v>
      </c>
    </row>
    <row r="201" spans="1:10" x14ac:dyDescent="0.25">
      <c r="A201" s="19" t="s">
        <v>161</v>
      </c>
      <c r="C201" s="2"/>
      <c r="D201" s="3"/>
      <c r="E201" s="17"/>
      <c r="G201" s="86">
        <v>833843083.86000001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5.0883619257941447E-4</v>
      </c>
    </row>
    <row r="204" spans="1:10" x14ac:dyDescent="0.25">
      <c r="A204" s="19" t="s">
        <v>164</v>
      </c>
      <c r="C204" s="2"/>
      <c r="D204" s="3"/>
      <c r="E204" s="17"/>
      <c r="G204" s="97">
        <v>4.8776990000000002E-4</v>
      </c>
    </row>
    <row r="205" spans="1:10" x14ac:dyDescent="0.25">
      <c r="A205" s="19" t="s">
        <v>165</v>
      </c>
      <c r="C205" s="2"/>
      <c r="D205" s="3"/>
      <c r="E205" s="17"/>
      <c r="G205" s="97">
        <v>4.9136220000000003E-4</v>
      </c>
    </row>
    <row r="206" spans="1:10" x14ac:dyDescent="0.25">
      <c r="A206" s="19" t="s">
        <v>166</v>
      </c>
      <c r="C206" s="2"/>
      <c r="D206" s="3"/>
      <c r="E206" s="17"/>
      <c r="G206" s="97">
        <v>4.3132279999999999E-4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-4.7687261891242077E-3</v>
      </c>
      <c r="H208" s="68">
        <v>-5711052.4500000002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5.7971249789865714E-3</v>
      </c>
      <c r="G211" s="91">
        <v>4833892.57</v>
      </c>
      <c r="H211" s="100">
        <v>241</v>
      </c>
    </row>
    <row r="212" spans="1:8" x14ac:dyDescent="0.25">
      <c r="A212" s="30" t="s">
        <v>172</v>
      </c>
      <c r="C212" s="2"/>
      <c r="D212" s="3"/>
      <c r="F212" s="99">
        <v>1.1584633952090018E-3</v>
      </c>
      <c r="G212" s="91">
        <v>965976.69</v>
      </c>
      <c r="H212" s="100">
        <v>52</v>
      </c>
    </row>
    <row r="213" spans="1:8" x14ac:dyDescent="0.25">
      <c r="A213" s="30" t="s">
        <v>173</v>
      </c>
      <c r="C213" s="2"/>
      <c r="D213" s="3"/>
      <c r="F213" s="99">
        <v>3.9631986688695112E-4</v>
      </c>
      <c r="G213" s="91">
        <v>330468.58</v>
      </c>
      <c r="H213" s="100">
        <v>18</v>
      </c>
    </row>
    <row r="214" spans="1:8" x14ac:dyDescent="0.25">
      <c r="A214" s="30" t="s">
        <v>174</v>
      </c>
      <c r="C214" s="2"/>
      <c r="D214" s="3"/>
      <c r="F214" s="99">
        <v>8.4367924087515141E-5</v>
      </c>
      <c r="G214" s="101">
        <v>70349.61</v>
      </c>
      <c r="H214" s="102">
        <v>3</v>
      </c>
    </row>
    <row r="215" spans="1:8" x14ac:dyDescent="0.25">
      <c r="A215" s="19" t="s">
        <v>175</v>
      </c>
      <c r="C215" s="2"/>
      <c r="D215" s="3"/>
      <c r="F215" s="99">
        <v>7.3519082410825236E-3</v>
      </c>
      <c r="G215" s="54">
        <v>6200687.4500000002</v>
      </c>
      <c r="H215" s="103">
        <v>314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1.6391511861834681E-3</v>
      </c>
      <c r="H218" s="106">
        <v>1.6511727850534936E-3</v>
      </c>
    </row>
    <row r="219" spans="1:8" x14ac:dyDescent="0.25">
      <c r="A219" s="19" t="s">
        <v>164</v>
      </c>
      <c r="C219" s="2"/>
      <c r="D219" s="3"/>
      <c r="G219" s="105">
        <v>1.7506507999999999E-3</v>
      </c>
      <c r="H219" s="105">
        <v>1.7235360999999999E-3</v>
      </c>
    </row>
    <row r="220" spans="1:8" x14ac:dyDescent="0.25">
      <c r="A220" s="19" t="s">
        <v>165</v>
      </c>
      <c r="C220" s="2"/>
      <c r="D220" s="3"/>
      <c r="G220" s="105">
        <v>1.3481176E-3</v>
      </c>
      <c r="H220" s="105">
        <v>1.3366998000000001E-3</v>
      </c>
    </row>
    <row r="221" spans="1:8" x14ac:dyDescent="0.25">
      <c r="A221" s="19" t="s">
        <v>166</v>
      </c>
      <c r="C221" s="2"/>
      <c r="D221" s="3"/>
      <c r="G221" s="105">
        <v>1.2103948999999999E-3</v>
      </c>
      <c r="H221" s="105">
        <v>1.1876237000000001E-3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1661750.34</v>
      </c>
      <c r="H223" s="105"/>
    </row>
    <row r="224" spans="1:8" x14ac:dyDescent="0.25">
      <c r="A224" s="108" t="s">
        <v>178</v>
      </c>
      <c r="C224" s="2"/>
      <c r="D224" s="3"/>
      <c r="G224" s="107">
        <v>1.9928813612118458E-3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1862198</v>
      </c>
      <c r="H229" s="100">
        <v>72</v>
      </c>
    </row>
    <row r="230" spans="1:10" x14ac:dyDescent="0.25">
      <c r="A230" s="7" t="s">
        <v>183</v>
      </c>
      <c r="C230" s="2"/>
      <c r="D230" s="3"/>
      <c r="E230" s="17"/>
      <c r="G230" s="101">
        <v>1646128.14</v>
      </c>
      <c r="H230" s="100">
        <v>72</v>
      </c>
    </row>
    <row r="231" spans="1:10" x14ac:dyDescent="0.25">
      <c r="A231" s="7" t="s">
        <v>184</v>
      </c>
      <c r="C231" s="2"/>
      <c r="D231" s="3"/>
      <c r="E231" s="17"/>
      <c r="G231" s="86">
        <v>216069.8600000001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7290735.0300000003</v>
      </c>
      <c r="H234" s="112">
        <v>266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6339485.1899999995</v>
      </c>
      <c r="H235" s="61">
        <v>266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951249.84000000078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1150682.3700000001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919312.59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2333968.02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2565337.8000000003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1362081.98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483582.22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557145.82999999996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1435645.5899999999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215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216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2027-D30A-495F-985A-48353F3C8A76}">
  <sheetPr>
    <pageSetUpPr fitToPage="1"/>
  </sheetPr>
  <dimension ref="A1:AA270"/>
  <sheetViews>
    <sheetView zoomScale="75" zoomScaleNormal="75" workbookViewId="0">
      <selection activeCell="H241" sqref="H241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85546875" style="1" bestFit="1" customWidth="1"/>
    <col min="4" max="4" width="37.85546875" style="1" customWidth="1"/>
    <col min="5" max="5" width="21.42578125" style="1" customWidth="1"/>
    <col min="6" max="6" width="23.42578125" style="1" customWidth="1"/>
    <col min="7" max="7" width="20.85546875" style="1" customWidth="1"/>
    <col min="8" max="8" width="18.140625" style="1" customWidth="1"/>
    <col min="9" max="9" width="15.140625" style="1" customWidth="1"/>
    <col min="10" max="16384" width="34.42578125" style="1"/>
  </cols>
  <sheetData>
    <row r="1" spans="1:27" x14ac:dyDescent="0.25">
      <c r="Z1" s="2"/>
      <c r="AA1" s="3"/>
    </row>
    <row r="2" spans="1:27" x14ac:dyDescent="0.25">
      <c r="A2" s="4"/>
    </row>
    <row r="3" spans="1:27" x14ac:dyDescent="0.25">
      <c r="A3" s="5" t="s">
        <v>0</v>
      </c>
      <c r="C3" s="6">
        <v>44835</v>
      </c>
      <c r="D3" s="7" t="s">
        <v>1</v>
      </c>
      <c r="E3" s="8">
        <v>44880</v>
      </c>
    </row>
    <row r="4" spans="1:27" x14ac:dyDescent="0.25">
      <c r="A4" s="5" t="s">
        <v>2</v>
      </c>
      <c r="C4" s="6">
        <v>44865</v>
      </c>
      <c r="D4" s="7" t="s">
        <v>3</v>
      </c>
      <c r="E4" s="9">
        <v>30</v>
      </c>
    </row>
    <row r="5" spans="1:27" x14ac:dyDescent="0.25">
      <c r="A5" s="5" t="s">
        <v>4</v>
      </c>
      <c r="C5" s="6">
        <v>44851</v>
      </c>
      <c r="D5" s="7" t="s">
        <v>5</v>
      </c>
      <c r="E5" s="9">
        <v>29</v>
      </c>
    </row>
    <row r="6" spans="1:27" x14ac:dyDescent="0.25">
      <c r="A6" s="5" t="s">
        <v>6</v>
      </c>
      <c r="C6" s="6">
        <v>44880</v>
      </c>
      <c r="E6" s="3"/>
    </row>
    <row r="7" spans="1:27" x14ac:dyDescent="0.25">
      <c r="A7" s="5"/>
      <c r="B7" s="10"/>
      <c r="F7" s="11"/>
    </row>
    <row r="8" spans="1:27" x14ac:dyDescent="0.25">
      <c r="A8" s="7" t="s">
        <v>7</v>
      </c>
    </row>
    <row r="9" spans="1:27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x14ac:dyDescent="0.25">
      <c r="A10" s="7" t="s">
        <v>13</v>
      </c>
      <c r="B10" s="13"/>
      <c r="C10" s="14">
        <v>1197605445.04</v>
      </c>
      <c r="D10" s="15">
        <v>875217970.25999999</v>
      </c>
      <c r="E10" s="14">
        <v>833843083.86000001</v>
      </c>
      <c r="F10" s="16">
        <v>0.69625859444230376</v>
      </c>
      <c r="G10" s="17"/>
      <c r="H10" s="18"/>
    </row>
    <row r="11" spans="1:27" x14ac:dyDescent="0.25">
      <c r="A11" s="7" t="s">
        <v>14</v>
      </c>
      <c r="B11" s="7"/>
      <c r="C11" s="14">
        <v>1197605445.04</v>
      </c>
      <c r="D11" s="15">
        <v>875217970.25999999</v>
      </c>
      <c r="E11" s="14">
        <v>833843083.8599999</v>
      </c>
      <c r="F11" s="16">
        <v>0.69625859444230365</v>
      </c>
    </row>
    <row r="12" spans="1:27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x14ac:dyDescent="0.25">
      <c r="A13" s="19" t="s">
        <v>16</v>
      </c>
      <c r="B13" s="20">
        <v>3.0000000000000001E-3</v>
      </c>
      <c r="C13" s="14">
        <v>396000000</v>
      </c>
      <c r="D13" s="15">
        <v>196612525.22</v>
      </c>
      <c r="E13" s="14">
        <v>155237638.81999999</v>
      </c>
      <c r="F13" s="16">
        <v>0.39201423944444441</v>
      </c>
      <c r="G13" s="17"/>
    </row>
    <row r="14" spans="1:27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x14ac:dyDescent="0.25">
      <c r="A18" s="19"/>
      <c r="B18" s="22"/>
      <c r="C18" s="23"/>
      <c r="D18" s="23"/>
      <c r="E18" s="23"/>
      <c r="F18" s="23"/>
    </row>
    <row r="19" spans="1:10" x14ac:dyDescent="0.25">
      <c r="A19" s="19"/>
      <c r="B19" s="22"/>
      <c r="F19" s="23"/>
      <c r="G19" s="17"/>
    </row>
    <row r="20" spans="1:10" ht="30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x14ac:dyDescent="0.25">
      <c r="A22" s="19" t="s">
        <v>16</v>
      </c>
      <c r="B22" s="14">
        <v>41374886.40000011</v>
      </c>
      <c r="C22" s="14">
        <v>49153.13</v>
      </c>
      <c r="D22" s="16">
        <v>104.48203636363664</v>
      </c>
      <c r="E22" s="16">
        <v>0.12412406565656565</v>
      </c>
      <c r="F22" s="23"/>
    </row>
    <row r="23" spans="1:10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x14ac:dyDescent="0.25">
      <c r="A27" s="7" t="s">
        <v>14</v>
      </c>
      <c r="B27" s="14">
        <v>41374886.40000011</v>
      </c>
      <c r="C27" s="14">
        <v>266794.8</v>
      </c>
      <c r="D27" s="25"/>
      <c r="E27" s="26"/>
      <c r="F27" s="27"/>
    </row>
    <row r="28" spans="1:10" x14ac:dyDescent="0.25">
      <c r="A28" s="7"/>
      <c r="B28" s="27"/>
      <c r="D28" s="28"/>
      <c r="E28" s="28"/>
      <c r="F28" s="27"/>
    </row>
    <row r="29" spans="1:10" x14ac:dyDescent="0.25">
      <c r="A29" s="7" t="s">
        <v>25</v>
      </c>
      <c r="B29" s="27"/>
      <c r="D29" s="28"/>
      <c r="E29" s="28"/>
    </row>
    <row r="30" spans="1:10" x14ac:dyDescent="0.25">
      <c r="A30" s="7"/>
    </row>
    <row r="31" spans="1:10" x14ac:dyDescent="0.25">
      <c r="A31" s="29" t="s">
        <v>26</v>
      </c>
    </row>
    <row r="32" spans="1:10" x14ac:dyDescent="0.25">
      <c r="A32" s="30" t="s">
        <v>27</v>
      </c>
      <c r="H32" s="31">
        <v>11800703.26</v>
      </c>
      <c r="I32" s="32"/>
      <c r="J32" s="17"/>
    </row>
    <row r="33" spans="1:10" x14ac:dyDescent="0.25">
      <c r="A33" s="30" t="s">
        <v>28</v>
      </c>
      <c r="H33" s="33">
        <v>4593282.38</v>
      </c>
      <c r="I33" s="34"/>
      <c r="J33" s="17"/>
    </row>
    <row r="34" spans="1:10" x14ac:dyDescent="0.25">
      <c r="A34" s="7" t="s">
        <v>29</v>
      </c>
      <c r="E34" s="28"/>
      <c r="F34" s="17"/>
      <c r="H34" s="35">
        <v>16393985.640000001</v>
      </c>
      <c r="I34" s="36"/>
      <c r="J34" s="17"/>
    </row>
    <row r="35" spans="1:10" x14ac:dyDescent="0.25">
      <c r="A35" s="7"/>
      <c r="E35" s="28"/>
      <c r="F35" s="17"/>
      <c r="H35" s="37"/>
      <c r="I35" s="36"/>
    </row>
    <row r="36" spans="1:10" x14ac:dyDescent="0.25">
      <c r="A36" s="7" t="s">
        <v>30</v>
      </c>
      <c r="H36" s="35">
        <v>0</v>
      </c>
      <c r="I36" s="38"/>
      <c r="J36" s="17"/>
    </row>
    <row r="37" spans="1:10" x14ac:dyDescent="0.25">
      <c r="A37" s="7"/>
      <c r="I37" s="7"/>
    </row>
    <row r="38" spans="1:10" x14ac:dyDescent="0.25">
      <c r="A38" s="29" t="s">
        <v>31</v>
      </c>
      <c r="I38" s="7"/>
    </row>
    <row r="39" spans="1:10" x14ac:dyDescent="0.25">
      <c r="A39" s="30" t="s">
        <v>32</v>
      </c>
      <c r="D39" s="39"/>
      <c r="H39" s="40">
        <v>492308.11</v>
      </c>
      <c r="I39" s="38"/>
      <c r="J39" s="17"/>
    </row>
    <row r="40" spans="1:10" x14ac:dyDescent="0.25">
      <c r="A40" s="30" t="s">
        <v>33</v>
      </c>
      <c r="F40" s="17"/>
      <c r="H40" s="33">
        <v>1040178.99</v>
      </c>
      <c r="I40" s="34"/>
      <c r="J40" s="17"/>
    </row>
    <row r="41" spans="1:10" x14ac:dyDescent="0.25">
      <c r="A41" s="19" t="s">
        <v>34</v>
      </c>
      <c r="F41" s="41"/>
      <c r="H41" s="35">
        <v>1532487.1</v>
      </c>
      <c r="I41" s="36"/>
      <c r="J41" s="17"/>
    </row>
    <row r="42" spans="1:10" x14ac:dyDescent="0.25">
      <c r="A42" s="30"/>
      <c r="G42" s="17"/>
      <c r="H42" s="37"/>
      <c r="I42" s="38"/>
    </row>
    <row r="43" spans="1:10" x14ac:dyDescent="0.25">
      <c r="A43" s="7"/>
      <c r="I43" s="7"/>
    </row>
    <row r="44" spans="1:10" x14ac:dyDescent="0.25">
      <c r="A44" s="29" t="s">
        <v>35</v>
      </c>
      <c r="I44" s="7"/>
    </row>
    <row r="45" spans="1:10" x14ac:dyDescent="0.25">
      <c r="A45" s="19" t="s">
        <v>36</v>
      </c>
      <c r="G45"/>
      <c r="H45" s="35">
        <v>0</v>
      </c>
      <c r="I45" s="36"/>
      <c r="J45" s="17"/>
    </row>
    <row r="46" spans="1:10" x14ac:dyDescent="0.25">
      <c r="A46" s="19" t="s">
        <v>37</v>
      </c>
      <c r="H46" s="40">
        <v>0</v>
      </c>
      <c r="I46" s="38"/>
      <c r="J46" s="17"/>
    </row>
    <row r="47" spans="1:10" x14ac:dyDescent="0.25">
      <c r="A47" s="19" t="s">
        <v>38</v>
      </c>
      <c r="F47" s="17"/>
      <c r="G47" s="32"/>
      <c r="H47" s="31">
        <v>31316345.530000001</v>
      </c>
      <c r="I47" s="32"/>
      <c r="J47" s="17"/>
    </row>
    <row r="48" spans="1:10" x14ac:dyDescent="0.25">
      <c r="A48" s="19" t="s">
        <v>39</v>
      </c>
      <c r="H48" s="31">
        <v>4583.2700000000004</v>
      </c>
      <c r="I48" s="32"/>
      <c r="J48" s="17"/>
    </row>
    <row r="49" spans="1:10" x14ac:dyDescent="0.25">
      <c r="A49" s="19" t="s">
        <v>40</v>
      </c>
      <c r="H49" s="40">
        <v>0</v>
      </c>
      <c r="I49" s="38"/>
      <c r="J49" s="17"/>
    </row>
    <row r="50" spans="1:10" x14ac:dyDescent="0.25">
      <c r="A50" s="19" t="s">
        <v>41</v>
      </c>
      <c r="H50" s="31">
        <v>1642196.29</v>
      </c>
      <c r="I50" s="32"/>
      <c r="J50" s="17"/>
    </row>
    <row r="51" spans="1:10" x14ac:dyDescent="0.25">
      <c r="A51" s="19" t="s">
        <v>42</v>
      </c>
      <c r="H51" s="42">
        <v>225423.95</v>
      </c>
      <c r="I51" s="43"/>
      <c r="J51" s="17"/>
    </row>
    <row r="52" spans="1:10" x14ac:dyDescent="0.25">
      <c r="A52" s="7" t="s">
        <v>43</v>
      </c>
      <c r="F52" s="17"/>
      <c r="H52" s="44">
        <v>51115021.780000001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1124984</v>
      </c>
      <c r="F56" s="49"/>
      <c r="G56" s="50"/>
      <c r="H56" s="51">
        <v>40</v>
      </c>
      <c r="I56" s="41"/>
    </row>
    <row r="57" spans="1:10" x14ac:dyDescent="0.25">
      <c r="A57" s="19" t="s">
        <v>52</v>
      </c>
      <c r="E57" s="49">
        <v>139049</v>
      </c>
      <c r="F57" s="49"/>
      <c r="G57" s="50"/>
      <c r="H57" s="51">
        <v>7</v>
      </c>
      <c r="I57" s="41"/>
    </row>
    <row r="58" spans="1:10" x14ac:dyDescent="0.25">
      <c r="A58" s="19" t="s">
        <v>53</v>
      </c>
      <c r="E58" s="49">
        <v>87153</v>
      </c>
      <c r="F58" s="50"/>
      <c r="G58" s="50"/>
      <c r="H58" s="51">
        <v>4</v>
      </c>
    </row>
    <row r="59" spans="1:10" x14ac:dyDescent="0.25">
      <c r="A59" s="19" t="s">
        <v>54</v>
      </c>
      <c r="E59" s="49">
        <v>291501</v>
      </c>
      <c r="F59" s="50"/>
      <c r="G59" s="50"/>
      <c r="H59" s="51">
        <v>11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1641667.95</v>
      </c>
      <c r="G61" s="50"/>
      <c r="H61" s="51">
        <v>63</v>
      </c>
    </row>
    <row r="62" spans="1:10" x14ac:dyDescent="0.25">
      <c r="A62" s="19" t="s">
        <v>57</v>
      </c>
      <c r="E62" s="49"/>
      <c r="F62" s="49"/>
      <c r="G62" s="50">
        <v>3624558.74</v>
      </c>
      <c r="H62" s="51">
        <v>178</v>
      </c>
    </row>
    <row r="63" spans="1:10" x14ac:dyDescent="0.25">
      <c r="A63" s="19" t="s">
        <v>58</v>
      </c>
      <c r="E63" s="49"/>
      <c r="F63" s="52"/>
      <c r="G63" s="50">
        <v>26173505.719999999</v>
      </c>
      <c r="H63" s="51">
        <v>1290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1642687</v>
      </c>
      <c r="F65" s="54">
        <v>1641667.95</v>
      </c>
      <c r="G65" s="55">
        <v>29798064.460000001</v>
      </c>
      <c r="H65" s="56">
        <v>1593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45836</v>
      </c>
      <c r="E71" s="62">
        <v>998367629.02999997</v>
      </c>
      <c r="F71" s="63">
        <v>7.0000000000000007E-2</v>
      </c>
      <c r="G71" s="62">
        <v>875217970.25999999</v>
      </c>
      <c r="H71" s="37"/>
      <c r="I71" s="41"/>
    </row>
    <row r="72" spans="1:10" x14ac:dyDescent="0.25">
      <c r="A72" s="19" t="s">
        <v>67</v>
      </c>
      <c r="D72" s="64"/>
      <c r="E72" s="65">
        <v>-14459382.91</v>
      </c>
      <c r="F72" s="66"/>
      <c r="G72" s="31">
        <v>-11562255.01000011</v>
      </c>
      <c r="H72" s="37"/>
      <c r="I72" s="41"/>
    </row>
    <row r="73" spans="1:10" x14ac:dyDescent="0.25">
      <c r="A73" s="19" t="s">
        <v>68</v>
      </c>
      <c r="D73" s="67">
        <v>-83</v>
      </c>
      <c r="E73" s="65">
        <v>-1715871.59</v>
      </c>
      <c r="F73" s="66"/>
      <c r="G73" s="31">
        <v>-1506495.78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-11</v>
      </c>
      <c r="E75" s="65">
        <v>-301713.91999999998</v>
      </c>
      <c r="F75" s="66"/>
      <c r="G75" s="31">
        <v>-243011.06</v>
      </c>
      <c r="H75" s="37"/>
      <c r="I75" s="41"/>
    </row>
    <row r="76" spans="1:10" x14ac:dyDescent="0.25">
      <c r="A76" s="19" t="s">
        <v>71</v>
      </c>
      <c r="D76" s="67">
        <v>-1531</v>
      </c>
      <c r="E76" s="65">
        <v>-31342431.309999999</v>
      </c>
      <c r="F76" s="68"/>
      <c r="G76" s="31">
        <v>-28063124.550000001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44211</v>
      </c>
      <c r="E77" s="71">
        <v>950548229.30000007</v>
      </c>
      <c r="F77" s="72"/>
      <c r="G77" s="71">
        <v>833843083.86000001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180531525.77000001</v>
      </c>
      <c r="H80" s="45"/>
      <c r="I80" s="41"/>
    </row>
    <row r="81" spans="1:10" x14ac:dyDescent="0.25">
      <c r="A81" s="76" t="s">
        <v>75</v>
      </c>
      <c r="C81" s="41"/>
      <c r="G81" s="53">
        <v>653311558.09000003</v>
      </c>
      <c r="H81" s="45"/>
      <c r="I81" s="41"/>
    </row>
    <row r="82" spans="1:10" x14ac:dyDescent="0.25">
      <c r="A82" s="77" t="s">
        <v>60</v>
      </c>
      <c r="C82" s="41"/>
      <c r="G82" s="78">
        <v>833843083.86000001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51115021.780000001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51115021.780000001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485325.9</v>
      </c>
      <c r="J92" s="17"/>
    </row>
    <row r="93" spans="1:10" x14ac:dyDescent="0.25">
      <c r="A93" s="7" t="s">
        <v>81</v>
      </c>
      <c r="H93" s="84">
        <v>523679.53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729348.31</v>
      </c>
      <c r="J95" s="17"/>
    </row>
    <row r="96" spans="1:10" x14ac:dyDescent="0.25">
      <c r="A96" s="30" t="s">
        <v>84</v>
      </c>
      <c r="H96" s="81">
        <v>729348.31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1738353.7400000002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49153.13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49153.13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266794.8</v>
      </c>
      <c r="J150" s="17"/>
    </row>
    <row r="151" spans="1:10" x14ac:dyDescent="0.25">
      <c r="A151" s="88" t="s">
        <v>126</v>
      </c>
      <c r="H151" s="86">
        <v>266794.8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49109873.240000002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41374886.40000011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41374886.40000011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7734986.8399999999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7734986.8400000036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13723014.070000004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7734986.8400000036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5988027.2300000004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11.55</v>
      </c>
      <c r="J193"/>
    </row>
    <row r="194" spans="1:10" ht="18" x14ac:dyDescent="0.25">
      <c r="A194" s="7" t="s">
        <v>154</v>
      </c>
      <c r="C194" s="2"/>
      <c r="D194" s="3"/>
      <c r="H194" s="92">
        <v>1.0985190076798377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1.0031629075112498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1933400.8</v>
      </c>
    </row>
    <row r="199" spans="1:10" x14ac:dyDescent="0.25">
      <c r="A199" s="19" t="s">
        <v>159</v>
      </c>
      <c r="C199" s="2"/>
      <c r="D199" s="3"/>
      <c r="E199" s="17"/>
      <c r="G199" s="86">
        <v>1506495.78</v>
      </c>
      <c r="H199" s="95">
        <v>83</v>
      </c>
    </row>
    <row r="200" spans="1:10" x14ac:dyDescent="0.25">
      <c r="A200" s="19" t="s">
        <v>160</v>
      </c>
      <c r="C200" s="2"/>
      <c r="D200" s="3"/>
      <c r="E200" s="17"/>
      <c r="G200" s="86">
        <v>426905.02</v>
      </c>
    </row>
    <row r="201" spans="1:10" x14ac:dyDescent="0.25">
      <c r="A201" s="19" t="s">
        <v>161</v>
      </c>
      <c r="C201" s="2"/>
      <c r="D201" s="3"/>
      <c r="E201" s="17"/>
      <c r="G201" s="86">
        <v>875217970.25999999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4.8776994360979565E-4</v>
      </c>
    </row>
    <row r="204" spans="1:10" x14ac:dyDescent="0.25">
      <c r="A204" s="19" t="s">
        <v>164</v>
      </c>
      <c r="C204" s="2"/>
      <c r="D204" s="3"/>
      <c r="E204" s="17"/>
      <c r="G204" s="97">
        <v>4.9136220000000003E-4</v>
      </c>
    </row>
    <row r="205" spans="1:10" x14ac:dyDescent="0.25">
      <c r="A205" s="19" t="s">
        <v>165</v>
      </c>
      <c r="C205" s="2"/>
      <c r="D205" s="3"/>
      <c r="E205" s="17"/>
      <c r="G205" s="97">
        <v>4.3132279999999999E-4</v>
      </c>
    </row>
    <row r="206" spans="1:10" x14ac:dyDescent="0.25">
      <c r="A206" s="19" t="s">
        <v>166</v>
      </c>
      <c r="C206" s="2"/>
      <c r="D206" s="3"/>
      <c r="E206" s="17"/>
      <c r="G206" s="97">
        <v>3.3906179999999999E-4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-4.4144446168774909E-3</v>
      </c>
      <c r="H208" s="68">
        <v>-5286762.91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5.4261696987199619E-3</v>
      </c>
      <c r="G211" s="91">
        <v>4749081.2300000004</v>
      </c>
      <c r="H211" s="100">
        <v>241</v>
      </c>
    </row>
    <row r="212" spans="1:8" x14ac:dyDescent="0.25">
      <c r="A212" s="30" t="s">
        <v>172</v>
      </c>
      <c r="C212" s="2"/>
      <c r="D212" s="3"/>
      <c r="F212" s="99">
        <v>1.2971716630346786E-3</v>
      </c>
      <c r="G212" s="91">
        <v>1135307.95</v>
      </c>
      <c r="H212" s="100">
        <v>58</v>
      </c>
    </row>
    <row r="213" spans="1:8" x14ac:dyDescent="0.25">
      <c r="A213" s="30" t="s">
        <v>173</v>
      </c>
      <c r="C213" s="2"/>
      <c r="D213" s="3"/>
      <c r="F213" s="99">
        <v>3.3290257958648329E-4</v>
      </c>
      <c r="G213" s="91">
        <v>291362.32</v>
      </c>
      <c r="H213" s="100">
        <v>16</v>
      </c>
    </row>
    <row r="214" spans="1:8" x14ac:dyDescent="0.25">
      <c r="A214" s="30" t="s">
        <v>174</v>
      </c>
      <c r="C214" s="2"/>
      <c r="D214" s="3"/>
      <c r="F214" s="99">
        <v>1.2057659187305089E-4</v>
      </c>
      <c r="G214" s="101">
        <v>105530.8</v>
      </c>
      <c r="H214" s="102">
        <v>5</v>
      </c>
    </row>
    <row r="215" spans="1:8" x14ac:dyDescent="0.25">
      <c r="A215" s="19" t="s">
        <v>175</v>
      </c>
      <c r="C215" s="2"/>
      <c r="D215" s="3"/>
      <c r="F215" s="99">
        <v>7.0562439413411242E-3</v>
      </c>
      <c r="G215" s="54">
        <v>6281282.3000000007</v>
      </c>
      <c r="H215" s="103">
        <v>320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1.7506508344942127E-3</v>
      </c>
      <c r="H218" s="106">
        <v>1.7235360851732262E-3</v>
      </c>
    </row>
    <row r="219" spans="1:8" x14ac:dyDescent="0.25">
      <c r="A219" s="19" t="s">
        <v>164</v>
      </c>
      <c r="C219" s="2"/>
      <c r="D219" s="3"/>
      <c r="G219" s="105">
        <v>1.3481176E-3</v>
      </c>
      <c r="H219" s="105">
        <v>1.3366998000000001E-3</v>
      </c>
    </row>
    <row r="220" spans="1:8" x14ac:dyDescent="0.25">
      <c r="A220" s="19" t="s">
        <v>165</v>
      </c>
      <c r="C220" s="2"/>
      <c r="D220" s="3"/>
      <c r="G220" s="105">
        <v>1.2103948999999999E-3</v>
      </c>
      <c r="H220" s="105">
        <v>1.1876237000000001E-3</v>
      </c>
    </row>
    <row r="221" spans="1:8" x14ac:dyDescent="0.25">
      <c r="A221" s="19" t="s">
        <v>166</v>
      </c>
      <c r="C221" s="2"/>
      <c r="D221" s="3"/>
      <c r="G221" s="105">
        <v>1.1618879E-3</v>
      </c>
      <c r="H221" s="105">
        <v>1.1282976999999999E-3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1730179.87</v>
      </c>
      <c r="H223" s="105"/>
    </row>
    <row r="224" spans="1:8" x14ac:dyDescent="0.25">
      <c r="A224" s="108" t="s">
        <v>178</v>
      </c>
      <c r="C224" s="2"/>
      <c r="D224" s="3"/>
      <c r="G224" s="107">
        <v>1.9768559705030022E-3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1416485</v>
      </c>
      <c r="H229" s="100">
        <v>51</v>
      </c>
    </row>
    <row r="230" spans="1:10" x14ac:dyDescent="0.25">
      <c r="A230" s="7" t="s">
        <v>183</v>
      </c>
      <c r="C230" s="2"/>
      <c r="D230" s="3"/>
      <c r="E230" s="17"/>
      <c r="G230" s="101">
        <v>1201553.3600000001</v>
      </c>
      <c r="H230" s="100">
        <v>51</v>
      </c>
    </row>
    <row r="231" spans="1:10" x14ac:dyDescent="0.25">
      <c r="A231" s="7" t="s">
        <v>184</v>
      </c>
      <c r="C231" s="2"/>
      <c r="D231" s="3"/>
      <c r="E231" s="17"/>
      <c r="G231" s="86">
        <v>214931.6399999999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5428537.0299999993</v>
      </c>
      <c r="H234" s="112">
        <v>194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4693357.05</v>
      </c>
      <c r="H235" s="61">
        <v>194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735179.97999999952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634182.91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523679.53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1040178.99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1150682.3700000001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1355099.77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485325.9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492308.11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1362081.98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0"/>
  <sheetViews>
    <sheetView zoomScale="75" zoomScaleNormal="75" workbookViewId="0">
      <selection activeCell="H95" sqref="H95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44805</v>
      </c>
      <c r="D3" s="7" t="s">
        <v>1</v>
      </c>
      <c r="E3" s="8">
        <v>44851</v>
      </c>
    </row>
    <row r="4" spans="1:27" ht="13.9" x14ac:dyDescent="0.25">
      <c r="A4" s="5" t="s">
        <v>2</v>
      </c>
      <c r="C4" s="6">
        <v>44834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44819</v>
      </c>
      <c r="D5" s="7" t="s">
        <v>5</v>
      </c>
      <c r="E5" s="9">
        <v>32</v>
      </c>
    </row>
    <row r="6" spans="1:27" ht="13.9" x14ac:dyDescent="0.25">
      <c r="A6" s="5" t="s">
        <v>6</v>
      </c>
      <c r="C6" s="6">
        <v>44851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911236593.64999998</v>
      </c>
      <c r="E10" s="14">
        <v>875217970.25999999</v>
      </c>
      <c r="F10" s="16">
        <v>0.73080660570207057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911236593.64999998</v>
      </c>
      <c r="E11" s="14">
        <v>875217970.25999999</v>
      </c>
      <c r="F11" s="16">
        <v>0.73080660570207057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232631148.61000001</v>
      </c>
      <c r="E13" s="14">
        <v>196612525.22000003</v>
      </c>
      <c r="F13" s="16">
        <v>0.49649627580808087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36018623.389999852</v>
      </c>
      <c r="C22" s="14">
        <v>58157.79</v>
      </c>
      <c r="D22" s="16">
        <v>90.956119671716792</v>
      </c>
      <c r="E22" s="16">
        <v>0.14686310606060607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36018623.389999852</v>
      </c>
      <c r="C27" s="14">
        <v>275799.46000000002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12475756.82</v>
      </c>
      <c r="I32" s="32"/>
      <c r="J32" s="17"/>
    </row>
    <row r="33" spans="1:10" ht="13.9" x14ac:dyDescent="0.25">
      <c r="A33" s="30" t="s">
        <v>28</v>
      </c>
      <c r="H33" s="33">
        <v>4790402.1900000004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17266159.010000002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518191.15</v>
      </c>
      <c r="I39" s="38"/>
      <c r="J39" s="17"/>
    </row>
    <row r="40" spans="1:10" ht="13.9" x14ac:dyDescent="0.25">
      <c r="A40" s="30" t="s">
        <v>33</v>
      </c>
      <c r="F40" s="17"/>
      <c r="H40" s="33">
        <v>520740.29</v>
      </c>
      <c r="I40" s="34"/>
      <c r="J40" s="17"/>
    </row>
    <row r="41" spans="1:10" ht="13.9" x14ac:dyDescent="0.25">
      <c r="A41" s="19" t="s">
        <v>34</v>
      </c>
      <c r="F41" s="41"/>
      <c r="H41" s="35">
        <v>1038931.44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25600700.59</v>
      </c>
      <c r="I47" s="32"/>
      <c r="J47" s="17"/>
    </row>
    <row r="48" spans="1:10" ht="13.9" x14ac:dyDescent="0.25">
      <c r="A48" s="19" t="s">
        <v>39</v>
      </c>
      <c r="H48" s="31">
        <v>705.59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1574369.15</v>
      </c>
      <c r="I50" s="32"/>
      <c r="J50" s="17"/>
    </row>
    <row r="51" spans="1:10" x14ac:dyDescent="0.25">
      <c r="A51" s="19" t="s">
        <v>42</v>
      </c>
      <c r="H51" s="42">
        <v>79834.240000000005</v>
      </c>
      <c r="I51" s="43"/>
      <c r="J51" s="17"/>
    </row>
    <row r="52" spans="1:10" x14ac:dyDescent="0.25">
      <c r="A52" s="7" t="s">
        <v>43</v>
      </c>
      <c r="F52" s="17"/>
      <c r="H52" s="44">
        <v>45560700.019999996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649482.5</v>
      </c>
      <c r="F56" s="49"/>
      <c r="G56" s="50"/>
      <c r="H56" s="51">
        <v>25</v>
      </c>
      <c r="I56" s="41"/>
    </row>
    <row r="57" spans="1:10" x14ac:dyDescent="0.25">
      <c r="A57" s="19" t="s">
        <v>52</v>
      </c>
      <c r="E57" s="49">
        <v>109174</v>
      </c>
      <c r="F57" s="49"/>
      <c r="G57" s="50"/>
      <c r="H57" s="51">
        <v>5</v>
      </c>
      <c r="I57" s="41"/>
    </row>
    <row r="58" spans="1:10" x14ac:dyDescent="0.25">
      <c r="A58" s="19" t="s">
        <v>53</v>
      </c>
      <c r="E58" s="49">
        <v>22609</v>
      </c>
      <c r="F58" s="50"/>
      <c r="G58" s="50"/>
      <c r="H58" s="51">
        <v>1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1572607.67</v>
      </c>
      <c r="G61" s="50"/>
      <c r="H61" s="51">
        <v>61</v>
      </c>
    </row>
    <row r="62" spans="1:10" x14ac:dyDescent="0.25">
      <c r="A62" s="19" t="s">
        <v>57</v>
      </c>
      <c r="E62" s="49"/>
      <c r="F62" s="49"/>
      <c r="G62" s="50">
        <v>2006339.06</v>
      </c>
      <c r="H62" s="51">
        <v>101</v>
      </c>
    </row>
    <row r="63" spans="1:10" x14ac:dyDescent="0.25">
      <c r="A63" s="19" t="s">
        <v>58</v>
      </c>
      <c r="E63" s="49"/>
      <c r="F63" s="52"/>
      <c r="G63" s="50">
        <v>22786434.100000001</v>
      </c>
      <c r="H63" s="51">
        <v>1088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781265.5</v>
      </c>
      <c r="F65" s="54">
        <v>1572607.67</v>
      </c>
      <c r="G65" s="55">
        <v>24792773.16</v>
      </c>
      <c r="H65" s="56">
        <v>1281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47131</v>
      </c>
      <c r="E71" s="62">
        <v>1040311698.9299999</v>
      </c>
      <c r="F71" s="63">
        <v>7.0000000000000007E-2</v>
      </c>
      <c r="G71" s="62">
        <v>911236593.64999998</v>
      </c>
      <c r="H71" s="37"/>
      <c r="I71" s="41"/>
    </row>
    <row r="72" spans="1:10" x14ac:dyDescent="0.25">
      <c r="A72" s="19" t="s">
        <v>67</v>
      </c>
      <c r="D72" s="64"/>
      <c r="E72" s="65">
        <v>-14949394.810000001</v>
      </c>
      <c r="F72" s="66"/>
      <c r="G72" s="31">
        <v>-11977373.899999857</v>
      </c>
      <c r="H72" s="37"/>
      <c r="I72" s="41"/>
    </row>
    <row r="73" spans="1:10" x14ac:dyDescent="0.25">
      <c r="A73" s="19" t="s">
        <v>68</v>
      </c>
      <c r="D73" s="67">
        <v>-73</v>
      </c>
      <c r="E73" s="65">
        <v>-1510729.2</v>
      </c>
      <c r="F73" s="66"/>
      <c r="G73" s="31">
        <v>-1346236.94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-3</v>
      </c>
      <c r="E75" s="65">
        <v>-96458.68</v>
      </c>
      <c r="F75" s="66"/>
      <c r="G75" s="31">
        <v>-73388.83</v>
      </c>
      <c r="H75" s="37"/>
      <c r="I75" s="41"/>
    </row>
    <row r="76" spans="1:10" x14ac:dyDescent="0.25">
      <c r="A76" s="19" t="s">
        <v>71</v>
      </c>
      <c r="D76" s="67">
        <v>-1219</v>
      </c>
      <c r="E76" s="65">
        <v>-25387487.210000001</v>
      </c>
      <c r="F76" s="68"/>
      <c r="G76" s="31">
        <v>-22621623.719999999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45836</v>
      </c>
      <c r="E77" s="71">
        <v>998367629.02999997</v>
      </c>
      <c r="F77" s="72"/>
      <c r="G77" s="71">
        <v>875217970.25999999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199469761.53</v>
      </c>
      <c r="H80" s="45"/>
      <c r="I80" s="41"/>
    </row>
    <row r="81" spans="1:10" x14ac:dyDescent="0.25">
      <c r="A81" s="76" t="s">
        <v>75</v>
      </c>
      <c r="C81" s="41"/>
      <c r="G81" s="53">
        <v>675748208.73000002</v>
      </c>
      <c r="H81" s="45"/>
      <c r="I81" s="41"/>
    </row>
    <row r="82" spans="1:10" x14ac:dyDescent="0.25">
      <c r="A82" s="77" t="s">
        <v>60</v>
      </c>
      <c r="C82" s="41"/>
      <c r="G82" s="78">
        <v>875217970.25999999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45560700.020000003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45560700.020000003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462319.13</v>
      </c>
      <c r="J92" s="17"/>
    </row>
    <row r="93" spans="1:10" x14ac:dyDescent="0.25">
      <c r="A93" s="7" t="s">
        <v>81</v>
      </c>
      <c r="H93" s="84">
        <v>312012.2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759363.83</v>
      </c>
      <c r="J95" s="17"/>
    </row>
    <row r="96" spans="1:10" x14ac:dyDescent="0.25">
      <c r="A96" s="30" t="s">
        <v>84</v>
      </c>
      <c r="H96" s="81">
        <v>759363.83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1533695.1600000001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58157.79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58157.79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275799.46000000002</v>
      </c>
      <c r="J150" s="17"/>
    </row>
    <row r="151" spans="1:10" x14ac:dyDescent="0.25">
      <c r="A151" s="88" t="s">
        <v>126</v>
      </c>
      <c r="H151" s="86">
        <v>275799.46000000002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43751205.400000006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36018623.389999852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36018623.389999852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7732582.0099999998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7732582.0100000054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13720609.240000006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7732582.0100000016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5988027.2300000042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12.33</v>
      </c>
      <c r="J193"/>
    </row>
    <row r="194" spans="1:10" ht="18" x14ac:dyDescent="0.25">
      <c r="A194" s="7" t="s">
        <v>154</v>
      </c>
      <c r="C194" s="2"/>
      <c r="D194" s="3"/>
      <c r="H194" s="92">
        <v>1.268414956181779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0.99521656583053419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1793984.18</v>
      </c>
    </row>
    <row r="199" spans="1:10" x14ac:dyDescent="0.25">
      <c r="A199" s="19" t="s">
        <v>159</v>
      </c>
      <c r="C199" s="2"/>
      <c r="D199" s="3"/>
      <c r="E199" s="17"/>
      <c r="G199" s="86">
        <v>1346236.94</v>
      </c>
      <c r="H199" s="95">
        <v>73</v>
      </c>
    </row>
    <row r="200" spans="1:10" x14ac:dyDescent="0.25">
      <c r="A200" s="19" t="s">
        <v>160</v>
      </c>
      <c r="C200" s="2"/>
      <c r="D200" s="3"/>
      <c r="E200" s="17"/>
      <c r="G200" s="86">
        <v>447747.24</v>
      </c>
    </row>
    <row r="201" spans="1:10" x14ac:dyDescent="0.25">
      <c r="A201" s="19" t="s">
        <v>161</v>
      </c>
      <c r="C201" s="2"/>
      <c r="D201" s="3"/>
      <c r="E201" s="17"/>
      <c r="G201" s="86">
        <v>911236593.64999998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4.9136222482739408E-4</v>
      </c>
    </row>
    <row r="204" spans="1:10" x14ac:dyDescent="0.25">
      <c r="A204" s="19" t="s">
        <v>164</v>
      </c>
      <c r="C204" s="2"/>
      <c r="D204" s="3"/>
      <c r="E204" s="17"/>
      <c r="G204" s="97">
        <v>4.3132279999999999E-4</v>
      </c>
    </row>
    <row r="205" spans="1:10" x14ac:dyDescent="0.25">
      <c r="A205" s="19" t="s">
        <v>165</v>
      </c>
      <c r="C205" s="2"/>
      <c r="D205" s="3"/>
      <c r="E205" s="17"/>
      <c r="G205" s="97">
        <v>3.3906179999999999E-4</v>
      </c>
    </row>
    <row r="206" spans="1:10" x14ac:dyDescent="0.25">
      <c r="A206" s="19" t="s">
        <v>166</v>
      </c>
      <c r="C206" s="2"/>
      <c r="D206" s="3"/>
      <c r="E206" s="17"/>
      <c r="G206" s="97">
        <v>2.7699879999999998E-4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-4.0579791200245265E-3</v>
      </c>
      <c r="H208" s="68">
        <v>-4859857.8900000006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5.1056705496914942E-3</v>
      </c>
      <c r="G211" s="91">
        <v>4652473.84</v>
      </c>
      <c r="H211" s="100">
        <v>227</v>
      </c>
    </row>
    <row r="212" spans="1:8" x14ac:dyDescent="0.25">
      <c r="A212" s="30" t="s">
        <v>172</v>
      </c>
      <c r="C212" s="2"/>
      <c r="D212" s="3"/>
      <c r="F212" s="99">
        <v>9.1045360313817556E-4</v>
      </c>
      <c r="G212" s="91">
        <v>829638.64</v>
      </c>
      <c r="H212" s="100">
        <v>43</v>
      </c>
    </row>
    <row r="213" spans="1:8" x14ac:dyDescent="0.25">
      <c r="A213" s="30" t="s">
        <v>173</v>
      </c>
      <c r="C213" s="2"/>
      <c r="D213" s="3"/>
      <c r="F213" s="99">
        <v>2.7374266105890157E-4</v>
      </c>
      <c r="G213" s="91">
        <v>249444.33</v>
      </c>
      <c r="H213" s="100">
        <v>14</v>
      </c>
    </row>
    <row r="214" spans="1:8" x14ac:dyDescent="0.25">
      <c r="A214" s="30" t="s">
        <v>174</v>
      </c>
      <c r="C214" s="2"/>
      <c r="D214" s="3"/>
      <c r="F214" s="99">
        <v>1.6392131422388035E-4</v>
      </c>
      <c r="G214" s="101">
        <v>149371.1</v>
      </c>
      <c r="H214" s="102">
        <v>6</v>
      </c>
    </row>
    <row r="215" spans="1:8" x14ac:dyDescent="0.25">
      <c r="A215" s="19" t="s">
        <v>175</v>
      </c>
      <c r="C215" s="2"/>
      <c r="D215" s="3"/>
      <c r="F215" s="99">
        <v>6.289866813888571E-3</v>
      </c>
      <c r="G215" s="54">
        <v>5880927.9099999992</v>
      </c>
      <c r="H215" s="103">
        <v>290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1.3481175784209576E-3</v>
      </c>
      <c r="H218" s="106">
        <v>1.3366998366255755E-3</v>
      </c>
    </row>
    <row r="219" spans="1:8" x14ac:dyDescent="0.25">
      <c r="A219" s="19" t="s">
        <v>164</v>
      </c>
      <c r="C219" s="2"/>
      <c r="D219" s="3"/>
      <c r="G219" s="105">
        <v>1.2103948999999999E-3</v>
      </c>
      <c r="H219" s="105">
        <v>1.1876237000000001E-3</v>
      </c>
    </row>
    <row r="220" spans="1:8" x14ac:dyDescent="0.25">
      <c r="A220" s="19" t="s">
        <v>165</v>
      </c>
      <c r="C220" s="2"/>
      <c r="D220" s="3"/>
      <c r="G220" s="105">
        <v>1.1618879E-3</v>
      </c>
      <c r="H220" s="105">
        <v>1.1282976999999999E-3</v>
      </c>
    </row>
    <row r="221" spans="1:8" x14ac:dyDescent="0.25">
      <c r="A221" s="19" t="s">
        <v>166</v>
      </c>
      <c r="C221" s="2"/>
      <c r="D221" s="3"/>
      <c r="G221" s="105">
        <v>1.1521379E-3</v>
      </c>
      <c r="H221" s="105">
        <v>1.1331214999999999E-3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1399821.62</v>
      </c>
      <c r="H223" s="105"/>
    </row>
    <row r="224" spans="1:8" x14ac:dyDescent="0.25">
      <c r="A224" s="108" t="s">
        <v>178</v>
      </c>
      <c r="C224" s="2"/>
      <c r="D224" s="3"/>
      <c r="G224" s="107">
        <v>1.536178013212738E-3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649482.5</v>
      </c>
      <c r="H229" s="100">
        <v>25</v>
      </c>
    </row>
    <row r="230" spans="1:10" x14ac:dyDescent="0.25">
      <c r="A230" s="7" t="s">
        <v>183</v>
      </c>
      <c r="C230" s="2"/>
      <c r="D230" s="3"/>
      <c r="E230" s="17"/>
      <c r="G230" s="101">
        <v>577490.52</v>
      </c>
      <c r="H230" s="100">
        <v>25</v>
      </c>
    </row>
    <row r="231" spans="1:10" x14ac:dyDescent="0.25">
      <c r="A231" s="7" t="s">
        <v>184</v>
      </c>
      <c r="C231" s="2"/>
      <c r="D231" s="3"/>
      <c r="E231" s="17"/>
      <c r="G231" s="86">
        <v>71991.979999999981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4012052.03</v>
      </c>
      <c r="H234" s="112">
        <v>143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3491803.69</v>
      </c>
      <c r="H235" s="61">
        <v>143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520248.33999999985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425454.82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312012.2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520740.29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634182.90999999992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1299227.75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462319.13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518191.15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1355099.77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0"/>
  <sheetViews>
    <sheetView zoomScale="75" zoomScaleNormal="75" workbookViewId="0">
      <selection activeCell="D10" sqref="D10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44774</v>
      </c>
      <c r="D3" s="7" t="s">
        <v>1</v>
      </c>
      <c r="E3" s="8">
        <v>44819</v>
      </c>
    </row>
    <row r="4" spans="1:27" ht="13.9" x14ac:dyDescent="0.25">
      <c r="A4" s="5" t="s">
        <v>2</v>
      </c>
      <c r="C4" s="6">
        <v>44804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44788</v>
      </c>
      <c r="D5" s="7" t="s">
        <v>5</v>
      </c>
      <c r="E5" s="9">
        <v>31</v>
      </c>
    </row>
    <row r="6" spans="1:27" ht="13.9" x14ac:dyDescent="0.25">
      <c r="A6" s="5" t="s">
        <v>6</v>
      </c>
      <c r="C6" s="6">
        <v>44819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940663815.86000001</v>
      </c>
      <c r="E10" s="14">
        <v>911236593.64999998</v>
      </c>
      <c r="F10" s="16">
        <v>0.76088213979318098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940663815.8599999</v>
      </c>
      <c r="E11" s="14">
        <v>911236593.64999998</v>
      </c>
      <c r="F11" s="16">
        <v>0.76088213979318098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262058370.81999999</v>
      </c>
      <c r="E13" s="14">
        <v>232631148.60999998</v>
      </c>
      <c r="F13" s="16">
        <v>0.587452395479798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29427222.209999956</v>
      </c>
      <c r="C22" s="14">
        <v>65514.59</v>
      </c>
      <c r="D22" s="16">
        <v>74.311167196969592</v>
      </c>
      <c r="E22" s="16">
        <v>0.16544088383838382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29427222.209999956</v>
      </c>
      <c r="C27" s="14">
        <v>283156.26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12999839.76</v>
      </c>
      <c r="I32" s="32"/>
      <c r="J32" s="17"/>
    </row>
    <row r="33" spans="1:10" ht="13.9" x14ac:dyDescent="0.25">
      <c r="A33" s="30" t="s">
        <v>28</v>
      </c>
      <c r="H33" s="33">
        <v>4950048.09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17949887.850000001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447655.67</v>
      </c>
      <c r="I39" s="38"/>
      <c r="J39" s="17"/>
    </row>
    <row r="40" spans="1:10" ht="13.9" x14ac:dyDescent="0.25">
      <c r="A40" s="30" t="s">
        <v>33</v>
      </c>
      <c r="F40" s="17"/>
      <c r="H40" s="33">
        <v>352053.68</v>
      </c>
      <c r="I40" s="34"/>
      <c r="J40" s="17"/>
    </row>
    <row r="41" spans="1:10" ht="13.9" x14ac:dyDescent="0.25">
      <c r="A41" s="19" t="s">
        <v>34</v>
      </c>
      <c r="F41" s="41"/>
      <c r="H41" s="35">
        <v>799709.35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18162082.379999999</v>
      </c>
      <c r="I47" s="32"/>
      <c r="J47" s="17"/>
    </row>
    <row r="48" spans="1:10" ht="13.9" x14ac:dyDescent="0.25">
      <c r="A48" s="19" t="s">
        <v>39</v>
      </c>
      <c r="H48" s="31">
        <v>1050.5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1502320.41</v>
      </c>
      <c r="I50" s="32"/>
      <c r="J50" s="17"/>
    </row>
    <row r="51" spans="1:10" x14ac:dyDescent="0.25">
      <c r="A51" s="19" t="s">
        <v>42</v>
      </c>
      <c r="H51" s="42">
        <v>78543.94</v>
      </c>
      <c r="I51" s="43"/>
      <c r="J51" s="17"/>
    </row>
    <row r="52" spans="1:10" x14ac:dyDescent="0.25">
      <c r="A52" s="7" t="s">
        <v>43</v>
      </c>
      <c r="F52" s="17"/>
      <c r="H52" s="44">
        <v>38493594.43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435922.53</v>
      </c>
      <c r="F56" s="49"/>
      <c r="G56" s="50"/>
      <c r="H56" s="51">
        <v>16</v>
      </c>
      <c r="I56" s="41"/>
    </row>
    <row r="57" spans="1:10" x14ac:dyDescent="0.25">
      <c r="A57" s="19" t="s">
        <v>52</v>
      </c>
      <c r="E57" s="49">
        <v>197213</v>
      </c>
      <c r="F57" s="49"/>
      <c r="G57" s="50"/>
      <c r="H57" s="51">
        <v>7</v>
      </c>
      <c r="I57" s="41"/>
    </row>
    <row r="58" spans="1:10" x14ac:dyDescent="0.25">
      <c r="A58" s="19" t="s">
        <v>53</v>
      </c>
      <c r="E58" s="49">
        <v>58151</v>
      </c>
      <c r="F58" s="50"/>
      <c r="G58" s="50"/>
      <c r="H58" s="51">
        <v>2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1499767.01</v>
      </c>
      <c r="G61" s="50"/>
      <c r="H61" s="51">
        <v>57</v>
      </c>
    </row>
    <row r="62" spans="1:10" x14ac:dyDescent="0.25">
      <c r="A62" s="19" t="s">
        <v>57</v>
      </c>
      <c r="E62" s="49"/>
      <c r="F62" s="49"/>
      <c r="G62" s="50">
        <v>1367874.86</v>
      </c>
      <c r="H62" s="51">
        <v>66</v>
      </c>
    </row>
    <row r="63" spans="1:10" x14ac:dyDescent="0.25">
      <c r="A63" s="19" t="s">
        <v>58</v>
      </c>
      <c r="E63" s="49"/>
      <c r="F63" s="52"/>
      <c r="G63" s="50">
        <v>16163714.720000001</v>
      </c>
      <c r="H63" s="51">
        <v>706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691286.53</v>
      </c>
      <c r="F65" s="54">
        <v>1499767.01</v>
      </c>
      <c r="G65" s="55">
        <v>17531589.580000002</v>
      </c>
      <c r="H65" s="56">
        <v>854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47995</v>
      </c>
      <c r="E71" s="62">
        <v>1075023930.6600001</v>
      </c>
      <c r="F71" s="63">
        <v>7.0000000000000007E-2</v>
      </c>
      <c r="G71" s="62">
        <v>940663815.86000001</v>
      </c>
      <c r="H71" s="37"/>
      <c r="I71" s="41"/>
    </row>
    <row r="72" spans="1:10" x14ac:dyDescent="0.25">
      <c r="A72" s="19" t="s">
        <v>67</v>
      </c>
      <c r="D72" s="64"/>
      <c r="E72" s="65">
        <v>-15318971.17</v>
      </c>
      <c r="F72" s="66"/>
      <c r="G72" s="31">
        <v>-12254438.919999957</v>
      </c>
      <c r="H72" s="37"/>
      <c r="I72" s="41"/>
    </row>
    <row r="73" spans="1:10" x14ac:dyDescent="0.25">
      <c r="A73" s="19" t="s">
        <v>68</v>
      </c>
      <c r="D73" s="67">
        <v>-73</v>
      </c>
      <c r="E73" s="65">
        <v>-1517263.15</v>
      </c>
      <c r="F73" s="66"/>
      <c r="G73" s="31">
        <v>-1362375.22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-2</v>
      </c>
      <c r="E75" s="65">
        <v>-54583.44</v>
      </c>
      <c r="F75" s="66"/>
      <c r="G75" s="31">
        <v>-45137.1</v>
      </c>
      <c r="H75" s="37"/>
      <c r="I75" s="41"/>
    </row>
    <row r="76" spans="1:10" x14ac:dyDescent="0.25">
      <c r="A76" s="19" t="s">
        <v>71</v>
      </c>
      <c r="D76" s="67">
        <v>-789</v>
      </c>
      <c r="E76" s="65">
        <v>-17821413.969999999</v>
      </c>
      <c r="F76" s="68"/>
      <c r="G76" s="31">
        <v>-15765270.970000001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47131</v>
      </c>
      <c r="E77" s="71">
        <v>1040311698.9300001</v>
      </c>
      <c r="F77" s="72"/>
      <c r="G77" s="71">
        <v>911236593.64999998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219351667.06</v>
      </c>
      <c r="H80" s="45"/>
      <c r="I80" s="41"/>
    </row>
    <row r="81" spans="1:10" x14ac:dyDescent="0.25">
      <c r="A81" s="76" t="s">
        <v>75</v>
      </c>
      <c r="C81" s="41"/>
      <c r="G81" s="53">
        <v>691884926.59000003</v>
      </c>
      <c r="H81" s="45"/>
      <c r="I81" s="41"/>
    </row>
    <row r="82" spans="1:10" x14ac:dyDescent="0.25">
      <c r="A82" s="77" t="s">
        <v>60</v>
      </c>
      <c r="C82" s="41"/>
      <c r="G82" s="78">
        <v>911236593.6500001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38493594.429999992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38493594.429999992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614150.18000000005</v>
      </c>
      <c r="J92" s="17"/>
    </row>
    <row r="93" spans="1:10" x14ac:dyDescent="0.25">
      <c r="A93" s="7" t="s">
        <v>81</v>
      </c>
      <c r="H93" s="84">
        <v>281735.11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783886.51</v>
      </c>
      <c r="J95" s="17"/>
    </row>
    <row r="96" spans="1:10" x14ac:dyDescent="0.25">
      <c r="A96" s="30" t="s">
        <v>84</v>
      </c>
      <c r="H96" s="81">
        <v>783886.51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1679771.8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65514.59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65514.59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283156.26</v>
      </c>
      <c r="J150" s="17"/>
    </row>
    <row r="151" spans="1:10" x14ac:dyDescent="0.25">
      <c r="A151" s="88" t="s">
        <v>126</v>
      </c>
      <c r="H151" s="86">
        <v>283156.26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36530666.369999997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29427222.209999956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29427222.209999956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7103444.1600000001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7103444.1599999964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13091471.389999997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7103444.1599999927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5988027.2300000042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13.2</v>
      </c>
      <c r="J193"/>
    </row>
    <row r="194" spans="1:10" ht="18" x14ac:dyDescent="0.25">
      <c r="A194" s="7" t="s">
        <v>154</v>
      </c>
      <c r="C194" s="2"/>
      <c r="D194" s="3"/>
      <c r="H194" s="92">
        <v>1.0415721520905297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0.97038034852587562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1768104.94</v>
      </c>
    </row>
    <row r="199" spans="1:10" x14ac:dyDescent="0.25">
      <c r="A199" s="19" t="s">
        <v>159</v>
      </c>
      <c r="C199" s="2"/>
      <c r="D199" s="3"/>
      <c r="E199" s="17"/>
      <c r="G199" s="86">
        <v>1362375.22</v>
      </c>
      <c r="H199" s="95">
        <v>73</v>
      </c>
    </row>
    <row r="200" spans="1:10" x14ac:dyDescent="0.25">
      <c r="A200" s="19" t="s">
        <v>160</v>
      </c>
      <c r="C200" s="2"/>
      <c r="D200" s="3"/>
      <c r="E200" s="17"/>
      <c r="G200" s="86">
        <v>405729.72</v>
      </c>
    </row>
    <row r="201" spans="1:10" x14ac:dyDescent="0.25">
      <c r="A201" s="19" t="s">
        <v>161</v>
      </c>
      <c r="C201" s="2"/>
      <c r="D201" s="3"/>
      <c r="E201" s="17"/>
      <c r="G201" s="86">
        <v>940663815.86000001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4.3132276713446493E-4</v>
      </c>
    </row>
    <row r="204" spans="1:10" x14ac:dyDescent="0.25">
      <c r="A204" s="19" t="s">
        <v>164</v>
      </c>
      <c r="C204" s="2"/>
      <c r="D204" s="3"/>
      <c r="E204" s="17"/>
      <c r="G204" s="97">
        <v>3.3906179999999999E-4</v>
      </c>
    </row>
    <row r="205" spans="1:10" x14ac:dyDescent="0.25">
      <c r="A205" s="19" t="s">
        <v>165</v>
      </c>
      <c r="C205" s="2"/>
      <c r="D205" s="3"/>
      <c r="E205" s="17"/>
      <c r="G205" s="97">
        <v>2.7699879999999998E-4</v>
      </c>
    </row>
    <row r="206" spans="1:10" x14ac:dyDescent="0.25">
      <c r="A206" s="19" t="s">
        <v>166</v>
      </c>
      <c r="C206" s="2"/>
      <c r="D206" s="3"/>
      <c r="E206" s="17"/>
      <c r="G206" s="97">
        <v>4.5500990000000002E-4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-3.6841103789843209E-3</v>
      </c>
      <c r="H208" s="68">
        <v>-4412110.6500000004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4.2263645448776263E-3</v>
      </c>
      <c r="G211" s="91">
        <v>3975588.2</v>
      </c>
      <c r="H211" s="100">
        <v>197</v>
      </c>
    </row>
    <row r="212" spans="1:8" x14ac:dyDescent="0.25">
      <c r="A212" s="30" t="s">
        <v>172</v>
      </c>
      <c r="C212" s="2"/>
      <c r="D212" s="3"/>
      <c r="F212" s="99">
        <v>8.5005788095394118E-4</v>
      </c>
      <c r="G212" s="91">
        <v>799618.69</v>
      </c>
      <c r="H212" s="100">
        <v>42</v>
      </c>
    </row>
    <row r="213" spans="1:8" x14ac:dyDescent="0.25">
      <c r="A213" s="30" t="s">
        <v>173</v>
      </c>
      <c r="C213" s="2"/>
      <c r="D213" s="3"/>
      <c r="F213" s="99">
        <v>2.4064269953133819E-4</v>
      </c>
      <c r="G213" s="91">
        <v>226363.88</v>
      </c>
      <c r="H213" s="100">
        <v>10</v>
      </c>
    </row>
    <row r="214" spans="1:8" x14ac:dyDescent="0.25">
      <c r="A214" s="30" t="s">
        <v>174</v>
      </c>
      <c r="C214" s="2"/>
      <c r="D214" s="3"/>
      <c r="F214" s="99">
        <v>1.1969436700088527E-4</v>
      </c>
      <c r="G214" s="101">
        <v>112592.16</v>
      </c>
      <c r="H214" s="102">
        <v>5</v>
      </c>
    </row>
    <row r="215" spans="1:8" x14ac:dyDescent="0.25">
      <c r="A215" s="19" t="s">
        <v>175</v>
      </c>
      <c r="C215" s="2"/>
      <c r="D215" s="3"/>
      <c r="F215" s="99">
        <v>5.317065125362906E-3</v>
      </c>
      <c r="G215" s="54">
        <v>5114162.9300000006</v>
      </c>
      <c r="H215" s="103">
        <v>254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1.2103949474861647E-3</v>
      </c>
      <c r="H218" s="106">
        <v>1.1876237108032087E-3</v>
      </c>
    </row>
    <row r="219" spans="1:8" x14ac:dyDescent="0.25">
      <c r="A219" s="19" t="s">
        <v>164</v>
      </c>
      <c r="C219" s="2"/>
      <c r="D219" s="3"/>
      <c r="G219" s="105">
        <v>1.1618879E-3</v>
      </c>
      <c r="H219" s="105">
        <v>1.1282976999999999E-3</v>
      </c>
    </row>
    <row r="220" spans="1:8" x14ac:dyDescent="0.25">
      <c r="A220" s="19" t="s">
        <v>165</v>
      </c>
      <c r="C220" s="2"/>
      <c r="D220" s="3"/>
      <c r="G220" s="105">
        <v>1.1521379E-3</v>
      </c>
      <c r="H220" s="105">
        <v>1.1331214999999999E-3</v>
      </c>
    </row>
    <row r="221" spans="1:8" x14ac:dyDescent="0.25">
      <c r="A221" s="19" t="s">
        <v>166</v>
      </c>
      <c r="C221" s="2"/>
      <c r="D221" s="3"/>
      <c r="G221" s="105">
        <v>1.2090052E-3</v>
      </c>
      <c r="H221" s="105">
        <v>1.1389748999999999E-3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1187483.28</v>
      </c>
      <c r="H223" s="105"/>
    </row>
    <row r="224" spans="1:8" x14ac:dyDescent="0.25">
      <c r="A224" s="108" t="s">
        <v>178</v>
      </c>
      <c r="C224" s="2"/>
      <c r="D224" s="3"/>
      <c r="G224" s="107">
        <v>1.2623886025788563E-3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435922.53</v>
      </c>
      <c r="H229" s="100">
        <v>16</v>
      </c>
    </row>
    <row r="230" spans="1:10" x14ac:dyDescent="0.25">
      <c r="A230" s="7" t="s">
        <v>183</v>
      </c>
      <c r="C230" s="2"/>
      <c r="D230" s="3"/>
      <c r="E230" s="17"/>
      <c r="G230" s="101">
        <v>374310.13</v>
      </c>
      <c r="H230" s="100">
        <v>16</v>
      </c>
    </row>
    <row r="231" spans="1:10" x14ac:dyDescent="0.25">
      <c r="A231" s="7" t="s">
        <v>184</v>
      </c>
      <c r="C231" s="2"/>
      <c r="D231" s="3"/>
      <c r="E231" s="17"/>
      <c r="G231" s="86">
        <v>61612.400000000023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3362569.5300000003</v>
      </c>
      <c r="H234" s="112">
        <v>118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2914313.17</v>
      </c>
      <c r="H235" s="61">
        <v>118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448256.36000000034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355136.25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281735.11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352053.68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425454.82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1465722.26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614150.18000000005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447655.67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1299227.75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70"/>
  <sheetViews>
    <sheetView zoomScale="75" zoomScaleNormal="75" workbookViewId="0">
      <selection activeCell="E11" sqref="E11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44743</v>
      </c>
      <c r="D3" s="7" t="s">
        <v>1</v>
      </c>
      <c r="E3" s="8">
        <v>44788</v>
      </c>
    </row>
    <row r="4" spans="1:27" ht="13.9" x14ac:dyDescent="0.25">
      <c r="A4" s="5" t="s">
        <v>2</v>
      </c>
      <c r="C4" s="6">
        <v>44773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44757</v>
      </c>
      <c r="D5" s="7" t="s">
        <v>5</v>
      </c>
      <c r="E5" s="9">
        <v>31</v>
      </c>
    </row>
    <row r="6" spans="1:27" ht="13.9" x14ac:dyDescent="0.25">
      <c r="A6" s="5" t="s">
        <v>6</v>
      </c>
      <c r="C6" s="6">
        <v>44788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968279587.72000003</v>
      </c>
      <c r="E10" s="14">
        <v>940663815.86000001</v>
      </c>
      <c r="F10" s="16">
        <v>0.78545385690742409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968279587.72000003</v>
      </c>
      <c r="E11" s="14">
        <v>940663815.8599999</v>
      </c>
      <c r="F11" s="16">
        <v>0.78545385690742398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289674142.68000001</v>
      </c>
      <c r="E13" s="14">
        <v>262058370.81999999</v>
      </c>
      <c r="F13" s="16">
        <v>0.66176356267676761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27615771.859999977</v>
      </c>
      <c r="C22" s="14">
        <v>72418.539999999994</v>
      </c>
      <c r="D22" s="16">
        <v>69.736797626262572</v>
      </c>
      <c r="E22" s="16">
        <v>0.18287510101010099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27615771.859999977</v>
      </c>
      <c r="C27" s="14">
        <v>290060.20999999996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12689555.619999999</v>
      </c>
      <c r="I32" s="32"/>
      <c r="J32" s="17"/>
    </row>
    <row r="33" spans="1:10" ht="13.9" x14ac:dyDescent="0.25">
      <c r="A33" s="30" t="s">
        <v>28</v>
      </c>
      <c r="H33" s="33">
        <v>4946593.59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17636149.210000001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585106.07999999996</v>
      </c>
      <c r="I39" s="38"/>
      <c r="J39" s="17"/>
    </row>
    <row r="40" spans="1:10" ht="13.9" x14ac:dyDescent="0.25">
      <c r="A40" s="30" t="s">
        <v>33</v>
      </c>
      <c r="F40" s="17"/>
      <c r="H40" s="33">
        <v>258869.49</v>
      </c>
      <c r="I40" s="34"/>
      <c r="J40" s="17"/>
    </row>
    <row r="41" spans="1:10" ht="13.9" x14ac:dyDescent="0.25">
      <c r="A41" s="19" t="s">
        <v>34</v>
      </c>
      <c r="F41" s="41"/>
      <c r="H41" s="35">
        <v>843975.57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16209132.35</v>
      </c>
      <c r="I47" s="32"/>
      <c r="J47" s="17"/>
    </row>
    <row r="48" spans="1:10" ht="13.9" x14ac:dyDescent="0.25">
      <c r="A48" s="19" t="s">
        <v>39</v>
      </c>
      <c r="H48" s="31">
        <v>571.66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1161543.02</v>
      </c>
      <c r="I50" s="32"/>
      <c r="J50" s="17"/>
    </row>
    <row r="51" spans="1:10" x14ac:dyDescent="0.25">
      <c r="A51" s="19" t="s">
        <v>42</v>
      </c>
      <c r="H51" s="42">
        <v>10864.19</v>
      </c>
      <c r="I51" s="43"/>
      <c r="J51" s="17"/>
    </row>
    <row r="52" spans="1:10" x14ac:dyDescent="0.25">
      <c r="A52" s="7" t="s">
        <v>43</v>
      </c>
      <c r="F52" s="17"/>
      <c r="H52" s="44">
        <v>35862236.000000007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131986</v>
      </c>
      <c r="F56" s="49"/>
      <c r="G56" s="50"/>
      <c r="H56" s="51">
        <v>6</v>
      </c>
      <c r="I56" s="41"/>
    </row>
    <row r="57" spans="1:10" x14ac:dyDescent="0.25">
      <c r="A57" s="19" t="s">
        <v>52</v>
      </c>
      <c r="E57" s="49">
        <v>87122</v>
      </c>
      <c r="F57" s="49"/>
      <c r="G57" s="50"/>
      <c r="H57" s="51">
        <v>4</v>
      </c>
      <c r="I57" s="41"/>
    </row>
    <row r="58" spans="1:10" x14ac:dyDescent="0.25">
      <c r="A58" s="19" t="s">
        <v>53</v>
      </c>
      <c r="E58" s="49">
        <v>86160</v>
      </c>
      <c r="F58" s="50"/>
      <c r="G58" s="50"/>
      <c r="H58" s="51">
        <v>3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1160574.5</v>
      </c>
      <c r="G61" s="50"/>
      <c r="H61" s="51">
        <v>42</v>
      </c>
    </row>
    <row r="62" spans="1:10" x14ac:dyDescent="0.25">
      <c r="A62" s="19" t="s">
        <v>57</v>
      </c>
      <c r="E62" s="49"/>
      <c r="F62" s="49"/>
      <c r="G62" s="50">
        <v>537742.63</v>
      </c>
      <c r="H62" s="51">
        <v>28</v>
      </c>
    </row>
    <row r="63" spans="1:10" x14ac:dyDescent="0.25">
      <c r="A63" s="19" t="s">
        <v>58</v>
      </c>
      <c r="E63" s="49"/>
      <c r="F63" s="52"/>
      <c r="G63" s="50">
        <v>15349938.9</v>
      </c>
      <c r="H63" s="51">
        <v>657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305268</v>
      </c>
      <c r="F65" s="54">
        <v>1160574.5</v>
      </c>
      <c r="G65" s="55">
        <v>15887681.530000001</v>
      </c>
      <c r="H65" s="56">
        <v>740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48746</v>
      </c>
      <c r="E71" s="62">
        <v>1107826550.1900001</v>
      </c>
      <c r="F71" s="63">
        <v>7.0000000000000007E-2</v>
      </c>
      <c r="G71" s="62">
        <v>968279587.72000003</v>
      </c>
      <c r="H71" s="37"/>
      <c r="I71" s="41"/>
    </row>
    <row r="72" spans="1:10" x14ac:dyDescent="0.25">
      <c r="A72" s="19" t="s">
        <v>67</v>
      </c>
      <c r="D72" s="64"/>
      <c r="E72" s="65">
        <v>-15601221.18</v>
      </c>
      <c r="F72" s="66"/>
      <c r="G72" s="31">
        <v>-12418607.399999976</v>
      </c>
      <c r="H72" s="37"/>
      <c r="I72" s="41"/>
    </row>
    <row r="73" spans="1:10" x14ac:dyDescent="0.25">
      <c r="A73" s="19" t="s">
        <v>68</v>
      </c>
      <c r="D73" s="67">
        <v>-53</v>
      </c>
      <c r="E73" s="65">
        <v>-1162688.42</v>
      </c>
      <c r="F73" s="66"/>
      <c r="G73" s="31">
        <v>-1028643.46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-4</v>
      </c>
      <c r="E75" s="65">
        <v>-106948.89</v>
      </c>
      <c r="F75" s="66"/>
      <c r="G75" s="31">
        <v>-91428.39</v>
      </c>
      <c r="H75" s="37"/>
      <c r="I75" s="41"/>
    </row>
    <row r="76" spans="1:10" x14ac:dyDescent="0.25">
      <c r="A76" s="19" t="s">
        <v>71</v>
      </c>
      <c r="D76" s="67">
        <v>-694</v>
      </c>
      <c r="E76" s="65">
        <v>-15931761.039999999</v>
      </c>
      <c r="F76" s="68"/>
      <c r="G76" s="31">
        <v>-14077092.609999999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47995</v>
      </c>
      <c r="E77" s="71">
        <v>1075023930.6599998</v>
      </c>
      <c r="F77" s="72"/>
      <c r="G77" s="71">
        <v>940663815.86000001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239066433.22999999</v>
      </c>
      <c r="H80" s="45"/>
      <c r="I80" s="41"/>
    </row>
    <row r="81" spans="1:10" x14ac:dyDescent="0.25">
      <c r="A81" s="76" t="s">
        <v>75</v>
      </c>
      <c r="C81" s="41"/>
      <c r="G81" s="53">
        <v>701597382.63</v>
      </c>
      <c r="H81" s="45"/>
      <c r="I81" s="41"/>
    </row>
    <row r="82" spans="1:10" x14ac:dyDescent="0.25">
      <c r="A82" s="77" t="s">
        <v>60</v>
      </c>
      <c r="C82" s="41"/>
      <c r="G82" s="78">
        <v>940663815.86000001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35862235.999999993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35862235.999999993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472058.12</v>
      </c>
      <c r="J92" s="17"/>
    </row>
    <row r="93" spans="1:10" x14ac:dyDescent="0.25">
      <c r="A93" s="7" t="s">
        <v>81</v>
      </c>
      <c r="H93" s="84">
        <v>88159.44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806899.66</v>
      </c>
      <c r="J95" s="17"/>
    </row>
    <row r="96" spans="1:10" x14ac:dyDescent="0.25">
      <c r="A96" s="30" t="s">
        <v>84</v>
      </c>
      <c r="H96" s="81">
        <v>806899.66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1367117.2200000002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72418.539999999994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72418.539999999994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290060.20999999996</v>
      </c>
      <c r="J150" s="17"/>
    </row>
    <row r="151" spans="1:10" x14ac:dyDescent="0.25">
      <c r="A151" s="88" t="s">
        <v>126</v>
      </c>
      <c r="H151" s="86">
        <v>290060.20999999996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34205058.569999993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27615771.859999977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27615771.859999977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6589286.71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6589286.7099999934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12577313.939999994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6589286.7099999934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5988027.2300000004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14.14</v>
      </c>
      <c r="J193"/>
    </row>
    <row r="194" spans="1:10" ht="18" x14ac:dyDescent="0.25">
      <c r="A194" s="7" t="s">
        <v>154</v>
      </c>
      <c r="C194" s="2"/>
      <c r="D194" s="3"/>
      <c r="H194" s="92">
        <v>0.97662512162784754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0.96326116816941032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1356950.09</v>
      </c>
    </row>
    <row r="199" spans="1:10" x14ac:dyDescent="0.25">
      <c r="A199" s="19" t="s">
        <v>159</v>
      </c>
      <c r="C199" s="2"/>
      <c r="D199" s="3"/>
      <c r="E199" s="17"/>
      <c r="G199" s="86">
        <v>1028643.46</v>
      </c>
      <c r="H199" s="95">
        <v>53</v>
      </c>
    </row>
    <row r="200" spans="1:10" x14ac:dyDescent="0.25">
      <c r="A200" s="19" t="s">
        <v>160</v>
      </c>
      <c r="C200" s="2"/>
      <c r="D200" s="3"/>
      <c r="E200" s="17"/>
      <c r="G200" s="86">
        <v>328306.63000000012</v>
      </c>
    </row>
    <row r="201" spans="1:10" x14ac:dyDescent="0.25">
      <c r="A201" s="19" t="s">
        <v>161</v>
      </c>
      <c r="C201" s="2"/>
      <c r="D201" s="3"/>
      <c r="E201" s="17"/>
      <c r="G201" s="86">
        <v>968279587.72000003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3.3906181041475948E-4</v>
      </c>
    </row>
    <row r="204" spans="1:10" x14ac:dyDescent="0.25">
      <c r="A204" s="19" t="s">
        <v>164</v>
      </c>
      <c r="C204" s="2"/>
      <c r="D204" s="3"/>
      <c r="E204" s="17"/>
      <c r="G204" s="97">
        <v>2.7699879999999998E-4</v>
      </c>
    </row>
    <row r="205" spans="1:10" x14ac:dyDescent="0.25">
      <c r="A205" s="19" t="s">
        <v>165</v>
      </c>
      <c r="C205" s="2"/>
      <c r="D205" s="3"/>
      <c r="E205" s="17"/>
      <c r="G205" s="97">
        <v>4.5500990000000002E-4</v>
      </c>
    </row>
    <row r="206" spans="1:10" x14ac:dyDescent="0.25">
      <c r="A206" s="19" t="s">
        <v>166</v>
      </c>
      <c r="C206" s="2"/>
      <c r="D206" s="3"/>
      <c r="E206" s="17"/>
      <c r="G206" s="97">
        <v>3.0429630000000001E-4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-3.3453262479665718E-3</v>
      </c>
      <c r="H208" s="68">
        <v>-4006380.9299999997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4.3927743122371557E-3</v>
      </c>
      <c r="G211" s="91">
        <v>4253433.7</v>
      </c>
      <c r="H211" s="100">
        <v>204</v>
      </c>
    </row>
    <row r="212" spans="1:8" x14ac:dyDescent="0.25">
      <c r="A212" s="30" t="s">
        <v>172</v>
      </c>
      <c r="C212" s="2"/>
      <c r="D212" s="3"/>
      <c r="F212" s="99">
        <v>6.4556421298923221E-4</v>
      </c>
      <c r="G212" s="91">
        <v>625086.65</v>
      </c>
      <c r="H212" s="100">
        <v>31</v>
      </c>
    </row>
    <row r="213" spans="1:8" x14ac:dyDescent="0.25">
      <c r="A213" s="30" t="s">
        <v>173</v>
      </c>
      <c r="C213" s="2"/>
      <c r="D213" s="3"/>
      <c r="F213" s="99">
        <v>3.9343328603779398E-4</v>
      </c>
      <c r="G213" s="91">
        <v>380953.42</v>
      </c>
      <c r="H213" s="100">
        <v>19</v>
      </c>
    </row>
    <row r="214" spans="1:8" x14ac:dyDescent="0.25">
      <c r="A214" s="30" t="s">
        <v>174</v>
      </c>
      <c r="C214" s="2"/>
      <c r="D214" s="3"/>
      <c r="F214" s="99">
        <v>1.2289044559969523E-4</v>
      </c>
      <c r="G214" s="101">
        <v>118992.31</v>
      </c>
      <c r="H214" s="102">
        <v>5</v>
      </c>
    </row>
    <row r="215" spans="1:8" x14ac:dyDescent="0.25">
      <c r="A215" s="19" t="s">
        <v>175</v>
      </c>
      <c r="C215" s="2"/>
      <c r="D215" s="3"/>
      <c r="F215" s="99">
        <v>5.4317718112641827E-3</v>
      </c>
      <c r="G215" s="54">
        <v>5378466.0800000001</v>
      </c>
      <c r="H215" s="103">
        <v>259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1.1618879446267216E-3</v>
      </c>
      <c r="H218" s="106">
        <v>1.1282977064784802E-3</v>
      </c>
    </row>
    <row r="219" spans="1:8" x14ac:dyDescent="0.25">
      <c r="A219" s="19" t="s">
        <v>164</v>
      </c>
      <c r="C219" s="2"/>
      <c r="D219" s="3"/>
      <c r="G219" s="105">
        <v>1.1521379E-3</v>
      </c>
      <c r="H219" s="105">
        <v>1.1331214999999999E-3</v>
      </c>
    </row>
    <row r="220" spans="1:8" x14ac:dyDescent="0.25">
      <c r="A220" s="19" t="s">
        <v>165</v>
      </c>
      <c r="C220" s="2"/>
      <c r="D220" s="3"/>
      <c r="G220" s="105">
        <v>1.2090052E-3</v>
      </c>
      <c r="H220" s="105">
        <v>1.1389748999999999E-3</v>
      </c>
    </row>
    <row r="221" spans="1:8" x14ac:dyDescent="0.25">
      <c r="A221" s="19" t="s">
        <v>166</v>
      </c>
      <c r="C221" s="2"/>
      <c r="D221" s="3"/>
      <c r="G221" s="105">
        <v>1.0692392000000001E-3</v>
      </c>
      <c r="H221" s="105">
        <v>9.8669930000000006E-4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1323253.99</v>
      </c>
      <c r="H223" s="105"/>
    </row>
    <row r="224" spans="1:8" x14ac:dyDescent="0.25">
      <c r="A224" s="108" t="s">
        <v>178</v>
      </c>
      <c r="C224" s="2"/>
      <c r="D224" s="3"/>
      <c r="G224" s="107">
        <v>1.3666032071540982E-3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131986</v>
      </c>
      <c r="H229" s="100">
        <v>6</v>
      </c>
    </row>
    <row r="230" spans="1:10" x14ac:dyDescent="0.25">
      <c r="A230" s="7" t="s">
        <v>183</v>
      </c>
      <c r="C230" s="2"/>
      <c r="D230" s="3"/>
      <c r="E230" s="17"/>
      <c r="G230" s="101">
        <v>134529.60000000001</v>
      </c>
      <c r="H230" s="100">
        <v>6</v>
      </c>
    </row>
    <row r="231" spans="1:10" x14ac:dyDescent="0.25">
      <c r="A231" s="7" t="s">
        <v>184</v>
      </c>
      <c r="C231" s="2"/>
      <c r="D231" s="3"/>
      <c r="E231" s="17"/>
      <c r="G231" s="86">
        <v>-2543.6000000000058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2926647</v>
      </c>
      <c r="H234" s="112">
        <v>102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2540003.04</v>
      </c>
      <c r="H235" s="61">
        <v>102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386643.95999999996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184426.2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88159.44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258869.49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355136.25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1352674.3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472058.12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585106.07999999996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1465722.26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70"/>
  <sheetViews>
    <sheetView zoomScale="75" zoomScaleNormal="75" workbookViewId="0">
      <selection activeCell="E12" sqref="E12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44713</v>
      </c>
      <c r="D3" s="7" t="s">
        <v>1</v>
      </c>
      <c r="E3" s="8">
        <v>44757</v>
      </c>
    </row>
    <row r="4" spans="1:27" ht="13.9" x14ac:dyDescent="0.25">
      <c r="A4" s="5" t="s">
        <v>2</v>
      </c>
      <c r="C4" s="6">
        <v>44742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44727</v>
      </c>
      <c r="D5" s="7" t="s">
        <v>5</v>
      </c>
      <c r="E5" s="9">
        <v>30</v>
      </c>
    </row>
    <row r="6" spans="1:27" ht="13.9" x14ac:dyDescent="0.25">
      <c r="A6" s="5" t="s">
        <v>6</v>
      </c>
      <c r="C6" s="6">
        <v>44757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994656848.10000002</v>
      </c>
      <c r="E10" s="14">
        <v>968279587.72000003</v>
      </c>
      <c r="F10" s="16">
        <v>0.80851301380619522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994656848.0999999</v>
      </c>
      <c r="E11" s="14">
        <v>968279587.72000003</v>
      </c>
      <c r="F11" s="16">
        <v>0.80851301380619522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316051403.06</v>
      </c>
      <c r="E13" s="14">
        <v>289674142.68000001</v>
      </c>
      <c r="F13" s="16">
        <v>0.73150036030303034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26377260.380000032</v>
      </c>
      <c r="C22" s="14">
        <v>79012.850000000006</v>
      </c>
      <c r="D22" s="16">
        <v>66.609243383838461</v>
      </c>
      <c r="E22" s="16">
        <v>0.19952739898989899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26377260.380000032</v>
      </c>
      <c r="C27" s="14">
        <v>296654.52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13079888.279999999</v>
      </c>
      <c r="I32" s="32"/>
      <c r="J32" s="17"/>
    </row>
    <row r="33" spans="1:10" ht="13.9" x14ac:dyDescent="0.25">
      <c r="A33" s="30" t="s">
        <v>28</v>
      </c>
      <c r="H33" s="33">
        <v>5071188.0599999996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18151076.34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542225.91</v>
      </c>
      <c r="I39" s="38"/>
      <c r="J39" s="17"/>
    </row>
    <row r="40" spans="1:10" ht="13.9" x14ac:dyDescent="0.25">
      <c r="A40" s="30" t="s">
        <v>33</v>
      </c>
      <c r="F40" s="17"/>
      <c r="H40" s="33">
        <v>73074.2</v>
      </c>
      <c r="I40" s="34"/>
      <c r="J40" s="17"/>
    </row>
    <row r="41" spans="1:10" ht="13.9" x14ac:dyDescent="0.25">
      <c r="A41" s="19" t="s">
        <v>34</v>
      </c>
      <c r="F41" s="41"/>
      <c r="H41" s="35">
        <v>615300.11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14591705.83</v>
      </c>
      <c r="I47" s="32"/>
      <c r="J47" s="17"/>
    </row>
    <row r="48" spans="1:10" ht="13.9" x14ac:dyDescent="0.25">
      <c r="A48" s="19" t="s">
        <v>39</v>
      </c>
      <c r="H48" s="31">
        <v>286.05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1618337.2599999998</v>
      </c>
      <c r="I50" s="32"/>
      <c r="J50" s="17"/>
    </row>
    <row r="51" spans="1:10" x14ac:dyDescent="0.25">
      <c r="A51" s="19" t="s">
        <v>42</v>
      </c>
      <c r="H51" s="42">
        <v>53016.73</v>
      </c>
      <c r="I51" s="43"/>
      <c r="J51" s="17"/>
    </row>
    <row r="52" spans="1:10" x14ac:dyDescent="0.25">
      <c r="A52" s="7" t="s">
        <v>43</v>
      </c>
      <c r="F52" s="17"/>
      <c r="H52" s="44">
        <v>35029722.32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497066</v>
      </c>
      <c r="F56" s="49"/>
      <c r="G56" s="50"/>
      <c r="H56" s="51">
        <v>17</v>
      </c>
      <c r="I56" s="41"/>
    </row>
    <row r="57" spans="1:10" x14ac:dyDescent="0.25">
      <c r="A57" s="19" t="s">
        <v>52</v>
      </c>
      <c r="E57" s="49">
        <v>69688</v>
      </c>
      <c r="F57" s="49"/>
      <c r="G57" s="50"/>
      <c r="H57" s="51">
        <v>4</v>
      </c>
      <c r="I57" s="41"/>
    </row>
    <row r="58" spans="1:10" x14ac:dyDescent="0.25">
      <c r="A58" s="19" t="s">
        <v>53</v>
      </c>
      <c r="E58" s="49">
        <v>83563</v>
      </c>
      <c r="F58" s="50"/>
      <c r="G58" s="50"/>
      <c r="H58" s="51">
        <v>3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27696</v>
      </c>
      <c r="F60" s="50"/>
      <c r="G60" s="50"/>
      <c r="H60" s="51">
        <v>1</v>
      </c>
    </row>
    <row r="61" spans="1:10" x14ac:dyDescent="0.25">
      <c r="A61" s="19" t="s">
        <v>56</v>
      </c>
      <c r="E61" s="49"/>
      <c r="F61" s="49">
        <v>1615407.88</v>
      </c>
      <c r="G61" s="50"/>
      <c r="H61" s="51">
        <v>60</v>
      </c>
    </row>
    <row r="62" spans="1:10" x14ac:dyDescent="0.25">
      <c r="A62" s="19" t="s">
        <v>57</v>
      </c>
      <c r="E62" s="49"/>
      <c r="F62" s="49"/>
      <c r="G62" s="50">
        <v>649701.52</v>
      </c>
      <c r="H62" s="51">
        <v>29</v>
      </c>
    </row>
    <row r="63" spans="1:10" x14ac:dyDescent="0.25">
      <c r="A63" s="19" t="s">
        <v>58</v>
      </c>
      <c r="E63" s="49"/>
      <c r="F63" s="52"/>
      <c r="G63" s="50">
        <v>13262603.15</v>
      </c>
      <c r="H63" s="51">
        <v>563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678013</v>
      </c>
      <c r="F65" s="54">
        <v>1615407.88</v>
      </c>
      <c r="G65" s="55">
        <v>13912304.67</v>
      </c>
      <c r="H65" s="56">
        <v>677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49421</v>
      </c>
      <c r="E71" s="62">
        <v>1139391739.8399999</v>
      </c>
      <c r="F71" s="63">
        <v>7.0000000000000007E-2</v>
      </c>
      <c r="G71" s="62">
        <v>994656848.10000002</v>
      </c>
      <c r="H71" s="37"/>
      <c r="I71" s="41"/>
    </row>
    <row r="72" spans="1:10" x14ac:dyDescent="0.25">
      <c r="A72" s="19" t="s">
        <v>67</v>
      </c>
      <c r="D72" s="64"/>
      <c r="E72" s="65">
        <v>-15838490.16</v>
      </c>
      <c r="F72" s="66"/>
      <c r="G72" s="31">
        <v>-12539104.970000029</v>
      </c>
      <c r="H72" s="37"/>
      <c r="I72" s="41"/>
    </row>
    <row r="73" spans="1:10" x14ac:dyDescent="0.25">
      <c r="A73" s="19" t="s">
        <v>68</v>
      </c>
      <c r="D73" s="67">
        <v>-76</v>
      </c>
      <c r="E73" s="65">
        <v>-1782920.12</v>
      </c>
      <c r="F73" s="66"/>
      <c r="G73" s="31">
        <v>-1564008.76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-1</v>
      </c>
      <c r="E75" s="65">
        <v>-27450.39</v>
      </c>
      <c r="F75" s="66"/>
      <c r="G75" s="31">
        <v>-28472.41</v>
      </c>
      <c r="H75" s="37"/>
      <c r="I75" s="41"/>
    </row>
    <row r="76" spans="1:10" x14ac:dyDescent="0.25">
      <c r="A76" s="19" t="s">
        <v>71</v>
      </c>
      <c r="D76" s="67">
        <v>-598</v>
      </c>
      <c r="E76" s="65">
        <v>-13916328.98</v>
      </c>
      <c r="F76" s="68"/>
      <c r="G76" s="31">
        <v>-12245674.24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48746</v>
      </c>
      <c r="E77" s="71">
        <v>1107826550.1899998</v>
      </c>
      <c r="F77" s="72"/>
      <c r="G77" s="71">
        <v>968279587.72000003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259362515.94</v>
      </c>
      <c r="H80" s="45"/>
      <c r="I80" s="41"/>
    </row>
    <row r="81" spans="1:10" x14ac:dyDescent="0.25">
      <c r="A81" s="76" t="s">
        <v>75</v>
      </c>
      <c r="C81" s="41"/>
      <c r="G81" s="53">
        <v>708917071.77999997</v>
      </c>
      <c r="H81" s="45"/>
      <c r="I81" s="41"/>
    </row>
    <row r="82" spans="1:10" x14ac:dyDescent="0.25">
      <c r="A82" s="77" t="s">
        <v>60</v>
      </c>
      <c r="C82" s="41"/>
      <c r="G82" s="78">
        <v>968279587.72000003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35029722.32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35029722.32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477642.95</v>
      </c>
      <c r="J92" s="17"/>
    </row>
    <row r="93" spans="1:10" x14ac:dyDescent="0.25">
      <c r="A93" s="7" t="s">
        <v>81</v>
      </c>
      <c r="H93" s="84">
        <v>306771.68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828880.71</v>
      </c>
      <c r="J95" s="17"/>
    </row>
    <row r="96" spans="1:10" x14ac:dyDescent="0.25">
      <c r="A96" s="30" t="s">
        <v>84</v>
      </c>
      <c r="H96" s="81">
        <v>828880.71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1613295.3399999999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79012.850000000006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79012.850000000006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296654.52</v>
      </c>
      <c r="J150" s="17"/>
    </row>
    <row r="151" spans="1:10" x14ac:dyDescent="0.25">
      <c r="A151" s="88" t="s">
        <v>126</v>
      </c>
      <c r="H151" s="86">
        <v>296654.52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33119772.459999997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26377260.380000032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26377260.380000032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6742512.0800000001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6742512.0799999982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12730539.309999999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6742512.0800000019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5988027.2299999967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15.11</v>
      </c>
      <c r="J193"/>
    </row>
    <row r="194" spans="1:10" ht="18" x14ac:dyDescent="0.25">
      <c r="A194" s="7" t="s">
        <v>154</v>
      </c>
      <c r="C194" s="2"/>
      <c r="D194" s="3"/>
      <c r="H194" s="92">
        <v>0.93192048330722488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0.96177628445180607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1839527.51</v>
      </c>
    </row>
    <row r="199" spans="1:10" x14ac:dyDescent="0.25">
      <c r="A199" s="19" t="s">
        <v>159</v>
      </c>
      <c r="C199" s="2"/>
      <c r="D199" s="3"/>
      <c r="E199" s="17"/>
      <c r="G199" s="86">
        <v>1564008.76</v>
      </c>
      <c r="H199" s="95">
        <v>76</v>
      </c>
    </row>
    <row r="200" spans="1:10" x14ac:dyDescent="0.25">
      <c r="A200" s="19" t="s">
        <v>160</v>
      </c>
      <c r="C200" s="2"/>
      <c r="D200" s="3"/>
      <c r="E200" s="17"/>
      <c r="G200" s="86">
        <v>275518.75</v>
      </c>
    </row>
    <row r="201" spans="1:10" x14ac:dyDescent="0.25">
      <c r="A201" s="19" t="s">
        <v>161</v>
      </c>
      <c r="C201" s="2"/>
      <c r="D201" s="3"/>
      <c r="E201" s="17"/>
      <c r="G201" s="86">
        <v>994656848.10000002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2.7699879664660001E-4</v>
      </c>
    </row>
    <row r="204" spans="1:10" x14ac:dyDescent="0.25">
      <c r="A204" s="19" t="s">
        <v>164</v>
      </c>
      <c r="C204" s="2"/>
      <c r="D204" s="3"/>
      <c r="E204" s="17"/>
      <c r="G204" s="97">
        <v>4.5500990000000002E-4</v>
      </c>
    </row>
    <row r="205" spans="1:10" x14ac:dyDescent="0.25">
      <c r="A205" s="19" t="s">
        <v>165</v>
      </c>
      <c r="C205" s="2"/>
      <c r="D205" s="3"/>
      <c r="E205" s="17"/>
      <c r="G205" s="97">
        <v>3.0429630000000001E-4</v>
      </c>
    </row>
    <row r="206" spans="1:10" x14ac:dyDescent="0.25">
      <c r="A206" s="19" t="s">
        <v>166</v>
      </c>
      <c r="C206" s="2"/>
      <c r="D206" s="3"/>
      <c r="E206" s="17"/>
      <c r="G206" s="97">
        <v>6.6505480000000005E-4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-3.0711903617615501E-3</v>
      </c>
      <c r="H208" s="68">
        <v>-3678074.3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3.5602609349792299E-3</v>
      </c>
      <c r="G211" s="91">
        <v>3541237.92</v>
      </c>
      <c r="H211" s="100">
        <v>170</v>
      </c>
    </row>
    <row r="212" spans="1:8" x14ac:dyDescent="0.25">
      <c r="A212" s="30" t="s">
        <v>172</v>
      </c>
      <c r="C212" s="2"/>
      <c r="D212" s="3"/>
      <c r="F212" s="99">
        <v>8.4037966621023253E-4</v>
      </c>
      <c r="G212" s="91">
        <v>835889.39</v>
      </c>
      <c r="H212" s="100">
        <v>41</v>
      </c>
    </row>
    <row r="213" spans="1:8" x14ac:dyDescent="0.25">
      <c r="A213" s="30" t="s">
        <v>173</v>
      </c>
      <c r="C213" s="2"/>
      <c r="D213" s="3"/>
      <c r="F213" s="99">
        <v>2.0150698241595908E-4</v>
      </c>
      <c r="G213" s="91">
        <v>200430.3</v>
      </c>
      <c r="H213" s="100">
        <v>10</v>
      </c>
    </row>
    <row r="214" spans="1:8" x14ac:dyDescent="0.25">
      <c r="A214" s="30" t="s">
        <v>174</v>
      </c>
      <c r="C214" s="2"/>
      <c r="D214" s="3"/>
      <c r="F214" s="99">
        <v>1.1025120895661382E-4</v>
      </c>
      <c r="G214" s="101">
        <v>109662.12</v>
      </c>
      <c r="H214" s="102">
        <v>5</v>
      </c>
    </row>
    <row r="215" spans="1:8" x14ac:dyDescent="0.25">
      <c r="A215" s="19" t="s">
        <v>175</v>
      </c>
      <c r="C215" s="2"/>
      <c r="D215" s="3"/>
      <c r="F215" s="99">
        <v>4.6021475836054209E-3</v>
      </c>
      <c r="G215" s="54">
        <v>4687219.7299999995</v>
      </c>
      <c r="H215" s="103">
        <v>226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1.1521378575828055E-3</v>
      </c>
      <c r="H218" s="106">
        <v>1.1331215475202849E-3</v>
      </c>
    </row>
    <row r="219" spans="1:8" x14ac:dyDescent="0.25">
      <c r="A219" s="19" t="s">
        <v>164</v>
      </c>
      <c r="C219" s="2"/>
      <c r="D219" s="3"/>
      <c r="G219" s="105">
        <v>1.2090052E-3</v>
      </c>
      <c r="H219" s="105">
        <v>1.1389748999999999E-3</v>
      </c>
    </row>
    <row r="220" spans="1:8" x14ac:dyDescent="0.25">
      <c r="A220" s="19" t="s">
        <v>165</v>
      </c>
      <c r="C220" s="2"/>
      <c r="D220" s="3"/>
      <c r="G220" s="105">
        <v>1.0692392000000001E-3</v>
      </c>
      <c r="H220" s="105">
        <v>9.8669930000000006E-4</v>
      </c>
    </row>
    <row r="221" spans="1:8" x14ac:dyDescent="0.25">
      <c r="A221" s="19" t="s">
        <v>166</v>
      </c>
      <c r="C221" s="2"/>
      <c r="D221" s="3"/>
      <c r="G221" s="105">
        <v>1.0897268999999999E-3</v>
      </c>
      <c r="H221" s="105">
        <v>1.0127765999999999E-3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1257089.45</v>
      </c>
      <c r="H223" s="105"/>
    </row>
    <row r="224" spans="1:8" x14ac:dyDescent="0.25">
      <c r="A224" s="108" t="s">
        <v>178</v>
      </c>
      <c r="C224" s="2"/>
      <c r="D224" s="3"/>
      <c r="G224" s="107">
        <v>1.2638423516625863E-3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497066</v>
      </c>
      <c r="H229" s="100">
        <v>17</v>
      </c>
    </row>
    <row r="230" spans="1:10" x14ac:dyDescent="0.25">
      <c r="A230" s="7" t="s">
        <v>183</v>
      </c>
      <c r="C230" s="2"/>
      <c r="D230" s="3"/>
      <c r="E230" s="17"/>
      <c r="G230" s="101">
        <v>442805.84</v>
      </c>
      <c r="H230" s="100">
        <v>17</v>
      </c>
    </row>
    <row r="231" spans="1:10" x14ac:dyDescent="0.25">
      <c r="A231" s="7" t="s">
        <v>184</v>
      </c>
      <c r="C231" s="2"/>
      <c r="D231" s="3"/>
      <c r="E231" s="17"/>
      <c r="G231" s="86">
        <v>54260.159999999974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2794661</v>
      </c>
      <c r="H234" s="112">
        <v>96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2405473.44</v>
      </c>
      <c r="H235" s="61">
        <v>96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389187.56000000006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418123.68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306771.68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73074.2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184426.2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1288091.3400000001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477642.95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542225.91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1352674.3000000003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270"/>
  <sheetViews>
    <sheetView zoomScale="75" zoomScaleNormal="75" workbookViewId="0">
      <selection activeCell="B14" sqref="B14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v>44682</v>
      </c>
      <c r="D3" s="7" t="s">
        <v>1</v>
      </c>
      <c r="E3" s="8">
        <v>44727</v>
      </c>
    </row>
    <row r="4" spans="1:27" ht="13.9" x14ac:dyDescent="0.25">
      <c r="A4" s="5" t="s">
        <v>2</v>
      </c>
      <c r="C4" s="6">
        <v>44712</v>
      </c>
      <c r="D4" s="7" t="s">
        <v>3</v>
      </c>
      <c r="E4" s="9">
        <v>30</v>
      </c>
    </row>
    <row r="5" spans="1:27" ht="13.9" x14ac:dyDescent="0.25">
      <c r="A5" s="5" t="s">
        <v>4</v>
      </c>
      <c r="C5" s="6">
        <v>44697</v>
      </c>
      <c r="D5" s="7" t="s">
        <v>5</v>
      </c>
      <c r="E5" s="9">
        <v>30</v>
      </c>
    </row>
    <row r="6" spans="1:27" ht="13.9" x14ac:dyDescent="0.25">
      <c r="A6" s="5" t="s">
        <v>6</v>
      </c>
      <c r="C6" s="6">
        <v>44727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v>1197605445.04</v>
      </c>
      <c r="D10" s="15">
        <v>1020300469.38</v>
      </c>
      <c r="E10" s="14">
        <v>994656848.10000002</v>
      </c>
      <c r="F10" s="16">
        <v>0.83053801418444495</v>
      </c>
      <c r="G10" s="17"/>
      <c r="H10" s="18"/>
    </row>
    <row r="11" spans="1:27" ht="13.9" x14ac:dyDescent="0.25">
      <c r="A11" s="7" t="s">
        <v>14</v>
      </c>
      <c r="B11" s="7"/>
      <c r="C11" s="14">
        <v>1197605445.04</v>
      </c>
      <c r="D11" s="15">
        <v>1020300469.3799999</v>
      </c>
      <c r="E11" s="14">
        <v>994656848.0999999</v>
      </c>
      <c r="F11" s="16">
        <v>0.83053801418444484</v>
      </c>
    </row>
    <row r="12" spans="1:27" ht="13.9" x14ac:dyDescent="0.25">
      <c r="A12" s="19" t="s">
        <v>15</v>
      </c>
      <c r="B12" s="20">
        <v>1.5E-3</v>
      </c>
      <c r="C12" s="14">
        <v>123000000</v>
      </c>
      <c r="D12" s="15">
        <v>0</v>
      </c>
      <c r="E12" s="14">
        <v>0</v>
      </c>
      <c r="F12" s="16">
        <v>0</v>
      </c>
      <c r="G12" s="17"/>
    </row>
    <row r="13" spans="1:27" ht="13.9" x14ac:dyDescent="0.25">
      <c r="A13" s="19" t="s">
        <v>16</v>
      </c>
      <c r="B13" s="20">
        <v>3.0000000000000001E-3</v>
      </c>
      <c r="C13" s="14">
        <v>396000000</v>
      </c>
      <c r="D13" s="15">
        <v>341695024.33999997</v>
      </c>
      <c r="E13" s="14">
        <v>316051403.05999994</v>
      </c>
      <c r="F13" s="16">
        <v>0.79810960368686856</v>
      </c>
      <c r="G13" s="17"/>
    </row>
    <row r="14" spans="1:27" ht="13.9" x14ac:dyDescent="0.25">
      <c r="A14" s="19" t="s">
        <v>17</v>
      </c>
      <c r="B14" s="21">
        <v>0</v>
      </c>
      <c r="C14" s="14">
        <v>0</v>
      </c>
      <c r="D14" s="15">
        <v>0</v>
      </c>
      <c r="E14" s="14">
        <v>0</v>
      </c>
      <c r="F14" s="16">
        <v>0</v>
      </c>
      <c r="G14" s="17"/>
    </row>
    <row r="15" spans="1:27" ht="13.9" x14ac:dyDescent="0.25">
      <c r="A15" s="19" t="s">
        <v>18</v>
      </c>
      <c r="B15" s="20">
        <v>5.1999999999999998E-3</v>
      </c>
      <c r="C15" s="14">
        <v>396000000</v>
      </c>
      <c r="D15" s="15">
        <v>396000000</v>
      </c>
      <c r="E15" s="14">
        <v>396000000</v>
      </c>
      <c r="F15" s="16">
        <v>1</v>
      </c>
    </row>
    <row r="16" spans="1:27" ht="13.9" x14ac:dyDescent="0.25">
      <c r="A16" s="19" t="s">
        <v>19</v>
      </c>
      <c r="B16" s="20">
        <v>6.4999999999999997E-3</v>
      </c>
      <c r="C16" s="14">
        <v>85000000</v>
      </c>
      <c r="D16" s="15">
        <v>85000000</v>
      </c>
      <c r="E16" s="14">
        <v>85000000</v>
      </c>
      <c r="F16" s="16">
        <v>1</v>
      </c>
    </row>
    <row r="17" spans="1:10" ht="13.9" x14ac:dyDescent="0.25">
      <c r="A17" s="19" t="s">
        <v>20</v>
      </c>
      <c r="B17" s="20">
        <v>0</v>
      </c>
      <c r="C17" s="14">
        <v>197605445.03999999</v>
      </c>
      <c r="D17" s="15">
        <v>197605445.03999999</v>
      </c>
      <c r="E17" s="14">
        <v>197605445.03999999</v>
      </c>
      <c r="F17" s="16"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v>0</v>
      </c>
      <c r="C21" s="14">
        <v>0</v>
      </c>
      <c r="D21" s="16">
        <v>0</v>
      </c>
      <c r="E21" s="16">
        <v>0</v>
      </c>
      <c r="F21" s="23"/>
    </row>
    <row r="22" spans="1:10" ht="13.9" x14ac:dyDescent="0.25">
      <c r="A22" s="19" t="s">
        <v>16</v>
      </c>
      <c r="B22" s="14">
        <v>25643621.279999953</v>
      </c>
      <c r="C22" s="14">
        <v>85423.76</v>
      </c>
      <c r="D22" s="16">
        <v>64.756619393939275</v>
      </c>
      <c r="E22" s="16">
        <v>0.21571656565656563</v>
      </c>
      <c r="F22" s="23"/>
    </row>
    <row r="23" spans="1:10" ht="13.9" x14ac:dyDescent="0.25">
      <c r="A23" s="19" t="s">
        <v>17</v>
      </c>
      <c r="B23" s="14">
        <v>0</v>
      </c>
      <c r="C23" s="14">
        <v>0</v>
      </c>
      <c r="D23" s="16">
        <v>0</v>
      </c>
      <c r="E23" s="16">
        <v>0</v>
      </c>
      <c r="F23" s="23"/>
    </row>
    <row r="24" spans="1:10" ht="13.9" x14ac:dyDescent="0.25">
      <c r="A24" s="19" t="s">
        <v>18</v>
      </c>
      <c r="B24" s="14">
        <v>0</v>
      </c>
      <c r="C24" s="14">
        <v>171600</v>
      </c>
      <c r="D24" s="16">
        <v>0</v>
      </c>
      <c r="E24" s="16">
        <v>0.43333333333333335</v>
      </c>
      <c r="F24" s="23"/>
    </row>
    <row r="25" spans="1:10" ht="13.9" x14ac:dyDescent="0.25">
      <c r="A25" s="19" t="s">
        <v>19</v>
      </c>
      <c r="B25" s="14">
        <v>0</v>
      </c>
      <c r="C25" s="14">
        <v>46041.67</v>
      </c>
      <c r="D25" s="16">
        <v>0</v>
      </c>
      <c r="E25" s="16">
        <v>0.54166670588235288</v>
      </c>
      <c r="F25" s="23"/>
    </row>
    <row r="26" spans="1:10" ht="13.9" x14ac:dyDescent="0.25">
      <c r="A26" s="19" t="s">
        <v>20</v>
      </c>
      <c r="B26" s="14">
        <v>0</v>
      </c>
      <c r="C26" s="14">
        <v>0</v>
      </c>
      <c r="D26" s="16">
        <v>0</v>
      </c>
      <c r="E26" s="16">
        <v>0</v>
      </c>
      <c r="F26" s="23"/>
    </row>
    <row r="27" spans="1:10" ht="13.9" x14ac:dyDescent="0.25">
      <c r="A27" s="7" t="s">
        <v>14</v>
      </c>
      <c r="B27" s="14">
        <v>25643621.279999953</v>
      </c>
      <c r="C27" s="14">
        <v>303065.43</v>
      </c>
      <c r="D27" s="25"/>
      <c r="E27" s="26"/>
      <c r="F27" s="27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v>13541366.49</v>
      </c>
      <c r="I32" s="32"/>
      <c r="J32" s="17"/>
    </row>
    <row r="33" spans="1:10" ht="13.9" x14ac:dyDescent="0.25">
      <c r="A33" s="30" t="s">
        <v>28</v>
      </c>
      <c r="H33" s="33">
        <v>5153061.22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v>18694427.710000001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v>471264.67</v>
      </c>
      <c r="I39" s="38"/>
      <c r="J39" s="17"/>
    </row>
    <row r="40" spans="1:10" ht="13.9" x14ac:dyDescent="0.25">
      <c r="A40" s="30" t="s">
        <v>33</v>
      </c>
      <c r="F40" s="17"/>
      <c r="H40" s="33">
        <v>282728.69</v>
      </c>
      <c r="I40" s="34"/>
      <c r="J40" s="17"/>
    </row>
    <row r="41" spans="1:10" ht="13.9" x14ac:dyDescent="0.25">
      <c r="A41" s="19" t="s">
        <v>34</v>
      </c>
      <c r="F41" s="41"/>
      <c r="H41" s="35">
        <v>753993.36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v>0</v>
      </c>
      <c r="I45" s="36"/>
      <c r="J45" s="17"/>
    </row>
    <row r="46" spans="1:10" ht="13.9" x14ac:dyDescent="0.25">
      <c r="A46" s="19" t="s">
        <v>37</v>
      </c>
      <c r="H46" s="40"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v>13858366.76</v>
      </c>
      <c r="I47" s="32"/>
      <c r="J47" s="17"/>
    </row>
    <row r="48" spans="1:10" ht="13.9" x14ac:dyDescent="0.25">
      <c r="A48" s="19" t="s">
        <v>39</v>
      </c>
      <c r="H48" s="31">
        <v>0</v>
      </c>
      <c r="I48" s="32"/>
      <c r="J48" s="17"/>
    </row>
    <row r="49" spans="1:10" ht="13.9" x14ac:dyDescent="0.25">
      <c r="A49" s="19" t="s">
        <v>40</v>
      </c>
      <c r="H49" s="40">
        <v>0</v>
      </c>
      <c r="I49" s="38"/>
      <c r="J49" s="17"/>
    </row>
    <row r="50" spans="1:10" ht="13.9" x14ac:dyDescent="0.25">
      <c r="A50" s="19" t="s">
        <v>41</v>
      </c>
      <c r="H50" s="31">
        <v>1331180.8500000001</v>
      </c>
      <c r="I50" s="32"/>
      <c r="J50" s="17"/>
    </row>
    <row r="51" spans="1:10" x14ac:dyDescent="0.25">
      <c r="A51" s="19" t="s">
        <v>42</v>
      </c>
      <c r="H51" s="42">
        <v>74433.919999999998</v>
      </c>
      <c r="I51" s="43"/>
      <c r="J51" s="17"/>
    </row>
    <row r="52" spans="1:10" x14ac:dyDescent="0.25">
      <c r="A52" s="7" t="s">
        <v>43</v>
      </c>
      <c r="F52" s="17"/>
      <c r="H52" s="44">
        <v>34712402.600000001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v>409518</v>
      </c>
      <c r="F56" s="49"/>
      <c r="G56" s="50"/>
      <c r="H56" s="51">
        <v>14</v>
      </c>
      <c r="I56" s="41"/>
    </row>
    <row r="57" spans="1:10" x14ac:dyDescent="0.25">
      <c r="A57" s="19" t="s">
        <v>52</v>
      </c>
      <c r="E57" s="49">
        <v>208045</v>
      </c>
      <c r="F57" s="49"/>
      <c r="G57" s="50"/>
      <c r="H57" s="51">
        <v>8</v>
      </c>
      <c r="I57" s="41"/>
    </row>
    <row r="58" spans="1:10" x14ac:dyDescent="0.25">
      <c r="A58" s="19" t="s">
        <v>53</v>
      </c>
      <c r="E58" s="49">
        <v>142639</v>
      </c>
      <c r="F58" s="50"/>
      <c r="G58" s="50"/>
      <c r="H58" s="51">
        <v>6</v>
      </c>
    </row>
    <row r="59" spans="1:10" x14ac:dyDescent="0.25">
      <c r="A59" s="19" t="s">
        <v>54</v>
      </c>
      <c r="E59" s="49">
        <v>0</v>
      </c>
      <c r="F59" s="50"/>
      <c r="G59" s="50"/>
      <c r="H59" s="51">
        <v>0</v>
      </c>
    </row>
    <row r="60" spans="1:10" x14ac:dyDescent="0.25">
      <c r="A60" s="19" t="s">
        <v>55</v>
      </c>
      <c r="E60" s="49">
        <v>0</v>
      </c>
      <c r="F60" s="50"/>
      <c r="G60" s="50"/>
      <c r="H60" s="51">
        <v>0</v>
      </c>
    </row>
    <row r="61" spans="1:10" x14ac:dyDescent="0.25">
      <c r="A61" s="19" t="s">
        <v>56</v>
      </c>
      <c r="E61" s="49"/>
      <c r="F61" s="49">
        <v>1327670.99</v>
      </c>
      <c r="G61" s="50"/>
      <c r="H61" s="51">
        <v>51</v>
      </c>
    </row>
    <row r="62" spans="1:10" x14ac:dyDescent="0.25">
      <c r="A62" s="19" t="s">
        <v>57</v>
      </c>
      <c r="E62" s="49"/>
      <c r="F62" s="49"/>
      <c r="G62" s="50">
        <v>226510.3</v>
      </c>
      <c r="H62" s="51">
        <v>10</v>
      </c>
    </row>
    <row r="63" spans="1:10" x14ac:dyDescent="0.25">
      <c r="A63" s="19" t="s">
        <v>58</v>
      </c>
      <c r="E63" s="49"/>
      <c r="F63" s="52"/>
      <c r="G63" s="50">
        <v>12914538.810000001</v>
      </c>
      <c r="H63" s="51">
        <v>533</v>
      </c>
    </row>
    <row r="64" spans="1:10" x14ac:dyDescent="0.25">
      <c r="A64" s="19" t="s">
        <v>59</v>
      </c>
      <c r="E64" s="53"/>
      <c r="F64" s="53"/>
      <c r="G64" s="50">
        <v>0</v>
      </c>
      <c r="H64" s="51">
        <v>0</v>
      </c>
    </row>
    <row r="65" spans="1:10" x14ac:dyDescent="0.25">
      <c r="A65" s="30" t="s">
        <v>60</v>
      </c>
      <c r="E65" s="54">
        <v>760202</v>
      </c>
      <c r="F65" s="54">
        <v>1327670.99</v>
      </c>
      <c r="G65" s="55">
        <v>13141049.110000001</v>
      </c>
      <c r="H65" s="56">
        <v>622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v>50045</v>
      </c>
      <c r="E71" s="62">
        <v>1170301690.3599999</v>
      </c>
      <c r="F71" s="63">
        <v>7.0000000000000007E-2</v>
      </c>
      <c r="G71" s="62">
        <v>1020300469.38</v>
      </c>
      <c r="H71" s="37"/>
      <c r="I71" s="41"/>
    </row>
    <row r="72" spans="1:10" x14ac:dyDescent="0.25">
      <c r="A72" s="19" t="s">
        <v>67</v>
      </c>
      <c r="D72" s="64"/>
      <c r="E72" s="65">
        <v>-16095112.699999999</v>
      </c>
      <c r="F72" s="66"/>
      <c r="G72" s="31">
        <v>-12675633.299999952</v>
      </c>
      <c r="H72" s="37"/>
      <c r="I72" s="41"/>
    </row>
    <row r="73" spans="1:10" x14ac:dyDescent="0.25">
      <c r="A73" s="19" t="s">
        <v>68</v>
      </c>
      <c r="D73" s="67">
        <v>-65</v>
      </c>
      <c r="E73" s="65">
        <v>-1397157.25</v>
      </c>
      <c r="F73" s="66"/>
      <c r="G73" s="31">
        <v>-1243724.95</v>
      </c>
      <c r="H73" s="37"/>
      <c r="I73" s="41"/>
    </row>
    <row r="74" spans="1:10" x14ac:dyDescent="0.25">
      <c r="A74" s="19" t="s">
        <v>69</v>
      </c>
      <c r="D74" s="67">
        <v>0</v>
      </c>
      <c r="E74" s="65">
        <v>0</v>
      </c>
      <c r="F74" s="66"/>
      <c r="G74" s="31">
        <v>0</v>
      </c>
      <c r="H74" s="37"/>
      <c r="I74" s="41"/>
    </row>
    <row r="75" spans="1:10" x14ac:dyDescent="0.25">
      <c r="A75" s="19" t="s">
        <v>70</v>
      </c>
      <c r="C75" s="17"/>
      <c r="D75" s="67">
        <v>0</v>
      </c>
      <c r="E75" s="65">
        <v>0</v>
      </c>
      <c r="F75" s="66"/>
      <c r="G75" s="31">
        <v>0</v>
      </c>
      <c r="H75" s="37"/>
      <c r="I75" s="41"/>
    </row>
    <row r="76" spans="1:10" x14ac:dyDescent="0.25">
      <c r="A76" s="19" t="s">
        <v>71</v>
      </c>
      <c r="D76" s="67">
        <v>-559</v>
      </c>
      <c r="E76" s="65">
        <v>-13417680.57</v>
      </c>
      <c r="F76" s="68"/>
      <c r="G76" s="31">
        <v>-11724263.029999999</v>
      </c>
      <c r="H76" s="37"/>
      <c r="I76" s="41"/>
      <c r="J76" s="41"/>
    </row>
    <row r="77" spans="1:10" x14ac:dyDescent="0.25">
      <c r="A77" s="19" t="s">
        <v>72</v>
      </c>
      <c r="C77" s="69"/>
      <c r="D77" s="70">
        <v>49421</v>
      </c>
      <c r="E77" s="71">
        <v>1139391739.8399999</v>
      </c>
      <c r="F77" s="72"/>
      <c r="G77" s="71">
        <v>994656848.10000002</v>
      </c>
      <c r="H77" s="45"/>
      <c r="I77" s="41"/>
    </row>
    <row r="78" spans="1:10" x14ac:dyDescent="0.25">
      <c r="A78" s="73"/>
      <c r="C78" s="41"/>
      <c r="E78" s="74" t="s">
        <v>51</v>
      </c>
      <c r="G78" s="74" t="s">
        <v>51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v>279737357.63</v>
      </c>
      <c r="H80" s="45"/>
      <c r="I80" s="41"/>
    </row>
    <row r="81" spans="1:10" x14ac:dyDescent="0.25">
      <c r="A81" s="76" t="s">
        <v>75</v>
      </c>
      <c r="C81" s="41"/>
      <c r="G81" s="53">
        <v>714919490.47000003</v>
      </c>
      <c r="H81" s="45"/>
      <c r="I81" s="41"/>
    </row>
    <row r="82" spans="1:10" x14ac:dyDescent="0.25">
      <c r="A82" s="77" t="s">
        <v>60</v>
      </c>
      <c r="C82" s="41"/>
      <c r="G82" s="78">
        <v>994656848.10000002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v>34712402.600000009</v>
      </c>
      <c r="I87" s="17"/>
      <c r="J87" s="17"/>
    </row>
    <row r="88" spans="1:10" x14ac:dyDescent="0.25">
      <c r="A88" s="19" t="s">
        <v>77</v>
      </c>
      <c r="H88" s="82">
        <v>0</v>
      </c>
      <c r="J88" s="17"/>
    </row>
    <row r="89" spans="1:10" x14ac:dyDescent="0.25">
      <c r="A89" s="19" t="s">
        <v>78</v>
      </c>
      <c r="F89" s="17"/>
      <c r="H89" s="81">
        <v>34712402.600000009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v>0</v>
      </c>
      <c r="J91" s="17"/>
    </row>
    <row r="92" spans="1:10" x14ac:dyDescent="0.25">
      <c r="A92" s="19" t="s">
        <v>80</v>
      </c>
      <c r="F92" s="17"/>
      <c r="H92" s="83">
        <v>576346.81999999995</v>
      </c>
      <c r="J92" s="17"/>
    </row>
    <row r="93" spans="1:10" x14ac:dyDescent="0.25">
      <c r="A93" s="7" t="s">
        <v>81</v>
      </c>
      <c r="H93" s="84">
        <v>234262.77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v>850250.39</v>
      </c>
      <c r="J95" s="17"/>
    </row>
    <row r="96" spans="1:10" x14ac:dyDescent="0.25">
      <c r="A96" s="30" t="s">
        <v>84</v>
      </c>
      <c r="H96" s="81">
        <v>850250.39</v>
      </c>
      <c r="J96" s="17"/>
    </row>
    <row r="97" spans="1:10" x14ac:dyDescent="0.25">
      <c r="A97" s="30" t="s">
        <v>85</v>
      </c>
      <c r="H97" s="85">
        <v>0</v>
      </c>
      <c r="J97" s="17"/>
    </row>
    <row r="98" spans="1:10" x14ac:dyDescent="0.25">
      <c r="A98" s="30" t="s">
        <v>86</v>
      </c>
      <c r="H98" s="86">
        <v>1660859.98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v>0</v>
      </c>
      <c r="J102" s="17"/>
    </row>
    <row r="103" spans="1:10" x14ac:dyDescent="0.25">
      <c r="A103" s="88" t="s">
        <v>90</v>
      </c>
      <c r="H103" s="81">
        <v>0</v>
      </c>
      <c r="J103" s="17"/>
    </row>
    <row r="104" spans="1:10" x14ac:dyDescent="0.25">
      <c r="A104" s="88" t="s">
        <v>91</v>
      </c>
      <c r="H104" s="81"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v>0</v>
      </c>
      <c r="J106" s="17"/>
    </row>
    <row r="107" spans="1:10" x14ac:dyDescent="0.25">
      <c r="A107" s="88" t="s">
        <v>93</v>
      </c>
      <c r="H107" s="86"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v>0</v>
      </c>
      <c r="J110" s="17"/>
    </row>
    <row r="111" spans="1:10" x14ac:dyDescent="0.25">
      <c r="A111" s="88" t="s">
        <v>96</v>
      </c>
      <c r="H111" s="81">
        <v>0</v>
      </c>
      <c r="J111" s="17"/>
    </row>
    <row r="112" spans="1:10" x14ac:dyDescent="0.25">
      <c r="A112" s="88" t="s">
        <v>97</v>
      </c>
      <c r="H112" s="81">
        <v>85423.76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v>85423.76</v>
      </c>
      <c r="J114" s="17"/>
    </row>
    <row r="115" spans="1:10" x14ac:dyDescent="0.25">
      <c r="A115" s="88" t="s">
        <v>99</v>
      </c>
      <c r="H115" s="86"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v>0</v>
      </c>
      <c r="J118" s="17"/>
    </row>
    <row r="119" spans="1:10" x14ac:dyDescent="0.25">
      <c r="A119" s="88" t="s">
        <v>102</v>
      </c>
      <c r="H119" s="81">
        <v>0</v>
      </c>
      <c r="J119" s="17"/>
    </row>
    <row r="120" spans="1:10" x14ac:dyDescent="0.25">
      <c r="A120" s="88" t="s">
        <v>103</v>
      </c>
      <c r="H120" s="81"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v>0</v>
      </c>
      <c r="J122" s="17"/>
    </row>
    <row r="123" spans="1:10" x14ac:dyDescent="0.25">
      <c r="A123" s="88" t="s">
        <v>105</v>
      </c>
      <c r="H123" s="86"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v>0</v>
      </c>
      <c r="J126" s="17"/>
    </row>
    <row r="127" spans="1:10" x14ac:dyDescent="0.25">
      <c r="A127" s="88" t="s">
        <v>108</v>
      </c>
      <c r="H127" s="81">
        <v>0</v>
      </c>
      <c r="J127" s="17"/>
    </row>
    <row r="128" spans="1:10" x14ac:dyDescent="0.25">
      <c r="A128" s="88" t="s">
        <v>109</v>
      </c>
      <c r="H128" s="81"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v>171600</v>
      </c>
      <c r="J130" s="17"/>
    </row>
    <row r="131" spans="1:10" x14ac:dyDescent="0.25">
      <c r="A131" s="88" t="s">
        <v>111</v>
      </c>
      <c r="H131" s="86"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v>0</v>
      </c>
      <c r="J134" s="17"/>
    </row>
    <row r="135" spans="1:10" x14ac:dyDescent="0.25">
      <c r="A135" s="88" t="s">
        <v>114</v>
      </c>
      <c r="H135" s="81">
        <v>0</v>
      </c>
      <c r="J135" s="17"/>
    </row>
    <row r="136" spans="1:10" x14ac:dyDescent="0.25">
      <c r="A136" s="88" t="s">
        <v>115</v>
      </c>
      <c r="H136" s="81"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v>46041.67</v>
      </c>
      <c r="J138" s="17"/>
    </row>
    <row r="139" spans="1:10" x14ac:dyDescent="0.25">
      <c r="A139" s="88" t="s">
        <v>117</v>
      </c>
      <c r="H139" s="86"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v>0</v>
      </c>
      <c r="J142" s="17"/>
    </row>
    <row r="143" spans="1:10" x14ac:dyDescent="0.25">
      <c r="A143" s="88" t="s">
        <v>120</v>
      </c>
      <c r="H143" s="27">
        <v>0</v>
      </c>
      <c r="J143" s="17"/>
    </row>
    <row r="144" spans="1:10" x14ac:dyDescent="0.25">
      <c r="A144" s="88" t="s">
        <v>121</v>
      </c>
      <c r="H144" s="27"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v>303065.43</v>
      </c>
      <c r="J150" s="17"/>
    </row>
    <row r="151" spans="1:10" x14ac:dyDescent="0.25">
      <c r="A151" s="88" t="s">
        <v>126</v>
      </c>
      <c r="H151" s="86">
        <v>303065.43</v>
      </c>
      <c r="J151" s="17"/>
    </row>
    <row r="152" spans="1:10" x14ac:dyDescent="0.25">
      <c r="A152" s="88" t="s">
        <v>127</v>
      </c>
      <c r="H152" s="86"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v>32748477.190000005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v>25643621.279999953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v>0</v>
      </c>
      <c r="J160" s="17"/>
    </row>
    <row r="161" spans="1:10" x14ac:dyDescent="0.25">
      <c r="A161" s="30" t="s">
        <v>133</v>
      </c>
      <c r="H161" s="81">
        <v>25643621.279999953</v>
      </c>
      <c r="I161" s="17"/>
      <c r="J161" s="17"/>
    </row>
    <row r="162" spans="1:10" x14ac:dyDescent="0.25">
      <c r="A162" s="30" t="s">
        <v>134</v>
      </c>
      <c r="H162" s="86"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v>7104855.9100000001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v>7104855.9100000039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v>13092883.140000004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v>7104855.9100000076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v>5988027.2299999967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v>16.09</v>
      </c>
      <c r="J193"/>
    </row>
    <row r="194" spans="1:10" ht="18" x14ac:dyDescent="0.25">
      <c r="A194" s="7" t="s">
        <v>154</v>
      </c>
      <c r="C194" s="2"/>
      <c r="D194" s="3"/>
      <c r="H194" s="92">
        <v>0.91022817795495692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v>0.96550825959487874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v>1707971.76</v>
      </c>
    </row>
    <row r="199" spans="1:10" x14ac:dyDescent="0.25">
      <c r="A199" s="19" t="s">
        <v>159</v>
      </c>
      <c r="C199" s="2"/>
      <c r="D199" s="3"/>
      <c r="E199" s="17"/>
      <c r="G199" s="86">
        <v>1243724.95</v>
      </c>
      <c r="H199" s="95">
        <v>65</v>
      </c>
    </row>
    <row r="200" spans="1:10" x14ac:dyDescent="0.25">
      <c r="A200" s="19" t="s">
        <v>160</v>
      </c>
      <c r="C200" s="2"/>
      <c r="D200" s="3"/>
      <c r="E200" s="17"/>
      <c r="G200" s="86">
        <v>464246.81000000006</v>
      </c>
    </row>
    <row r="201" spans="1:10" x14ac:dyDescent="0.25">
      <c r="A201" s="19" t="s">
        <v>161</v>
      </c>
      <c r="C201" s="2"/>
      <c r="D201" s="3"/>
      <c r="E201" s="17"/>
      <c r="G201" s="86">
        <v>1020300469.38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v>4.5500989554783427E-4</v>
      </c>
    </row>
    <row r="204" spans="1:10" x14ac:dyDescent="0.25">
      <c r="A204" s="19" t="s">
        <v>164</v>
      </c>
      <c r="C204" s="2"/>
      <c r="D204" s="3"/>
      <c r="E204" s="17"/>
      <c r="G204" s="97">
        <v>3.0429630000000001E-4</v>
      </c>
    </row>
    <row r="205" spans="1:10" x14ac:dyDescent="0.25">
      <c r="A205" s="19" t="s">
        <v>165</v>
      </c>
      <c r="C205" s="2"/>
      <c r="D205" s="3"/>
      <c r="E205" s="17"/>
      <c r="G205" s="97">
        <v>6.6505480000000005E-4</v>
      </c>
    </row>
    <row r="206" spans="1:10" x14ac:dyDescent="0.25">
      <c r="A206" s="19" t="s">
        <v>166</v>
      </c>
      <c r="C206" s="2"/>
      <c r="D206" s="3"/>
      <c r="E206" s="17"/>
      <c r="G206" s="97">
        <v>2.080444E-4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v>-2.8411323312632028E-3</v>
      </c>
      <c r="H208" s="68">
        <v>-3402555.5500000003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v>3.0306200798662615E-3</v>
      </c>
      <c r="G211" s="91">
        <v>3092143.09</v>
      </c>
      <c r="H211" s="100">
        <v>151</v>
      </c>
    </row>
    <row r="212" spans="1:8" x14ac:dyDescent="0.25">
      <c r="A212" s="30" t="s">
        <v>172</v>
      </c>
      <c r="C212" s="2"/>
      <c r="D212" s="3"/>
      <c r="F212" s="99">
        <v>7.7906664149926476E-4</v>
      </c>
      <c r="G212" s="91">
        <v>794882.06</v>
      </c>
      <c r="H212" s="100">
        <v>38</v>
      </c>
    </row>
    <row r="213" spans="1:8" x14ac:dyDescent="0.25">
      <c r="A213" s="30" t="s">
        <v>173</v>
      </c>
      <c r="C213" s="2"/>
      <c r="D213" s="3"/>
      <c r="F213" s="99">
        <v>4.0702352146554881E-4</v>
      </c>
      <c r="G213" s="91">
        <v>415286.29</v>
      </c>
      <c r="H213" s="100">
        <v>18</v>
      </c>
    </row>
    <row r="214" spans="1:8" x14ac:dyDescent="0.25">
      <c r="A214" s="30" t="s">
        <v>174</v>
      </c>
      <c r="C214" s="2"/>
      <c r="D214" s="3"/>
      <c r="F214" s="99">
        <v>2.291499484873049E-5</v>
      </c>
      <c r="G214" s="101">
        <v>23380.18</v>
      </c>
      <c r="H214" s="102">
        <v>1</v>
      </c>
    </row>
    <row r="215" spans="1:8" x14ac:dyDescent="0.25">
      <c r="A215" s="19" t="s">
        <v>175</v>
      </c>
      <c r="C215" s="2"/>
      <c r="D215" s="3"/>
      <c r="F215" s="99">
        <v>4.2167102428310749E-3</v>
      </c>
      <c r="G215" s="54">
        <v>4325691.6199999992</v>
      </c>
      <c r="H215" s="103">
        <v>208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v>1.2090051578135441E-3</v>
      </c>
      <c r="H218" s="106">
        <v>1.1389749225696874E-3</v>
      </c>
    </row>
    <row r="219" spans="1:8" x14ac:dyDescent="0.25">
      <c r="A219" s="19" t="s">
        <v>164</v>
      </c>
      <c r="C219" s="2"/>
      <c r="D219" s="3"/>
      <c r="G219" s="105">
        <v>1.0692392000000001E-3</v>
      </c>
      <c r="H219" s="105">
        <v>9.8669930000000006E-4</v>
      </c>
    </row>
    <row r="220" spans="1:8" x14ac:dyDescent="0.25">
      <c r="A220" s="19" t="s">
        <v>165</v>
      </c>
      <c r="C220" s="2"/>
      <c r="D220" s="3"/>
      <c r="G220" s="105">
        <v>1.0897268999999999E-3</v>
      </c>
      <c r="H220" s="105">
        <v>1.0127765999999999E-3</v>
      </c>
    </row>
    <row r="221" spans="1:8" x14ac:dyDescent="0.25">
      <c r="A221" s="19" t="s">
        <v>166</v>
      </c>
      <c r="C221" s="2"/>
      <c r="D221" s="3"/>
      <c r="G221" s="105">
        <v>8.7805990000000003E-4</v>
      </c>
      <c r="H221" s="105">
        <v>8.2802180000000002E-4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v>1442056.74</v>
      </c>
      <c r="H223" s="105"/>
    </row>
    <row r="224" spans="1:8" x14ac:dyDescent="0.25">
      <c r="A224" s="108" t="s">
        <v>178</v>
      </c>
      <c r="C224" s="2"/>
      <c r="D224" s="3"/>
      <c r="G224" s="107">
        <v>1.4133647717287498E-3</v>
      </c>
      <c r="H224" s="105"/>
    </row>
    <row r="225" spans="1:10" x14ac:dyDescent="0.25">
      <c r="A225" s="108" t="s">
        <v>179</v>
      </c>
      <c r="C225" s="2"/>
      <c r="D225" s="3"/>
      <c r="G225" s="107"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">
        <v>213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v>409518</v>
      </c>
      <c r="H229" s="100">
        <v>14</v>
      </c>
    </row>
    <row r="230" spans="1:10" x14ac:dyDescent="0.25">
      <c r="A230" s="7" t="s">
        <v>183</v>
      </c>
      <c r="C230" s="2"/>
      <c r="D230" s="3"/>
      <c r="E230" s="17"/>
      <c r="G230" s="101">
        <v>338386.22</v>
      </c>
      <c r="H230" s="100">
        <v>14</v>
      </c>
    </row>
    <row r="231" spans="1:10" x14ac:dyDescent="0.25">
      <c r="A231" s="7" t="s">
        <v>184</v>
      </c>
      <c r="C231" s="2"/>
      <c r="D231" s="3"/>
      <c r="E231" s="17"/>
      <c r="G231" s="86">
        <v>71131.780000000028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v>2297595</v>
      </c>
      <c r="H234" s="112">
        <v>79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v>1962667.5999999999</v>
      </c>
      <c r="H235" s="61">
        <v>79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v>334927.40000000014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v>369657.76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v>234262.77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v>282728.69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v>418123.68000000005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v>1393173.49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v>576346.81999999995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v>471264.67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v>1288091.3400000001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">
        <v>214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">
        <v>214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">
        <v>214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">
        <v>214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">
        <v>214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270"/>
  <sheetViews>
    <sheetView zoomScale="75" zoomScaleNormal="75" workbookViewId="0">
      <selection activeCell="B46" sqref="B46"/>
    </sheetView>
  </sheetViews>
  <sheetFormatPr defaultColWidth="34.42578125" defaultRowHeight="15" x14ac:dyDescent="0.25"/>
  <cols>
    <col min="1" max="1" width="32.42578125" style="1" customWidth="1"/>
    <col min="2" max="2" width="20.42578125" style="1" customWidth="1"/>
    <col min="3" max="3" width="18.7109375" style="1" bestFit="1" customWidth="1"/>
    <col min="4" max="4" width="37.7109375" style="1" customWidth="1"/>
    <col min="5" max="5" width="21.42578125" style="1" customWidth="1"/>
    <col min="6" max="6" width="23.42578125" style="1" customWidth="1"/>
    <col min="7" max="7" width="20.7109375" style="1" customWidth="1"/>
    <col min="8" max="8" width="18.28515625" style="1" customWidth="1"/>
    <col min="9" max="9" width="15.28515625" style="1" customWidth="1"/>
    <col min="10" max="16384" width="34.42578125" style="1"/>
  </cols>
  <sheetData>
    <row r="1" spans="1:27" ht="13.9" x14ac:dyDescent="0.25">
      <c r="Z1" s="2"/>
      <c r="AA1" s="3"/>
    </row>
    <row r="2" spans="1:27" ht="13.9" x14ac:dyDescent="0.25">
      <c r="A2" s="4"/>
    </row>
    <row r="3" spans="1:27" ht="13.9" x14ac:dyDescent="0.25">
      <c r="A3" s="5" t="s">
        <v>0</v>
      </c>
      <c r="C3" s="6">
        <f>[1]Notes!C26+1</f>
        <v>44652</v>
      </c>
      <c r="D3" s="7" t="s">
        <v>1</v>
      </c>
      <c r="E3" s="8">
        <f>[1]Notes!C25</f>
        <v>44697</v>
      </c>
    </row>
    <row r="4" spans="1:27" ht="13.9" x14ac:dyDescent="0.25">
      <c r="A4" s="5" t="s">
        <v>2</v>
      </c>
      <c r="C4" s="6">
        <f>[1]Notes!C27</f>
        <v>44681</v>
      </c>
      <c r="D4" s="7" t="s">
        <v>3</v>
      </c>
      <c r="E4" s="9">
        <f>[1]Notes!C33</f>
        <v>30</v>
      </c>
    </row>
    <row r="5" spans="1:27" ht="13.9" x14ac:dyDescent="0.25">
      <c r="A5" s="5" t="s">
        <v>4</v>
      </c>
      <c r="C5" s="6">
        <f>[1]Notes!C24</f>
        <v>44666</v>
      </c>
      <c r="D5" s="7" t="s">
        <v>5</v>
      </c>
      <c r="E5" s="9">
        <f>[1]Notes!C34</f>
        <v>31</v>
      </c>
    </row>
    <row r="6" spans="1:27" ht="13.9" x14ac:dyDescent="0.25">
      <c r="A6" s="5" t="s">
        <v>6</v>
      </c>
      <c r="C6" s="6">
        <f>[1]Notes!C25</f>
        <v>44697</v>
      </c>
      <c r="E6" s="3"/>
    </row>
    <row r="7" spans="1:27" ht="13.9" x14ac:dyDescent="0.25">
      <c r="A7" s="5"/>
      <c r="B7" s="10"/>
      <c r="F7" s="11"/>
    </row>
    <row r="8" spans="1:27" ht="13.9" x14ac:dyDescent="0.25">
      <c r="A8" s="7" t="s">
        <v>7</v>
      </c>
    </row>
    <row r="9" spans="1:27" ht="13.9" x14ac:dyDescent="0.25">
      <c r="A9" s="7"/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</row>
    <row r="10" spans="1:27" ht="13.9" x14ac:dyDescent="0.25">
      <c r="A10" s="7" t="s">
        <v>13</v>
      </c>
      <c r="B10" s="13"/>
      <c r="C10" s="14">
        <f>C11</f>
        <v>1197605445.04</v>
      </c>
      <c r="D10" s="15">
        <f>G71</f>
        <v>1046352274.8200001</v>
      </c>
      <c r="E10" s="14">
        <f>G77</f>
        <v>1020300469.38</v>
      </c>
      <c r="F10" s="16">
        <f t="shared" ref="F10:F17" si="0">E10/C10</f>
        <v>0.8519504262490406</v>
      </c>
      <c r="G10" s="17"/>
      <c r="H10" s="18"/>
    </row>
    <row r="11" spans="1:27" ht="13.9" x14ac:dyDescent="0.25">
      <c r="A11" s="7" t="s">
        <v>14</v>
      </c>
      <c r="B11" s="7"/>
      <c r="C11" s="14">
        <f>SUM(C12:C17)</f>
        <v>1197605445.04</v>
      </c>
      <c r="D11" s="15">
        <f>SUM(D12:D17)</f>
        <v>1046352274.8199999</v>
      </c>
      <c r="E11" s="14">
        <f>SUM(E12:E17)</f>
        <v>1020300469.3799999</v>
      </c>
      <c r="F11" s="16">
        <f t="shared" si="0"/>
        <v>0.8519504262490406</v>
      </c>
    </row>
    <row r="12" spans="1:27" ht="13.9" x14ac:dyDescent="0.25">
      <c r="A12" s="19" t="s">
        <v>15</v>
      </c>
      <c r="B12" s="20">
        <f>[1]Notes!B12</f>
        <v>1.5E-3</v>
      </c>
      <c r="C12" s="14">
        <f>[1]Notes!B3</f>
        <v>123000000</v>
      </c>
      <c r="D12" s="15">
        <f>[1]Notes!C3</f>
        <v>0</v>
      </c>
      <c r="E12" s="14">
        <f>[1]Notes!I3</f>
        <v>0</v>
      </c>
      <c r="F12" s="16">
        <f t="shared" si="0"/>
        <v>0</v>
      </c>
      <c r="G12" s="17"/>
    </row>
    <row r="13" spans="1:27" ht="13.9" x14ac:dyDescent="0.25">
      <c r="A13" s="19" t="s">
        <v>16</v>
      </c>
      <c r="B13" s="20">
        <f>[1]Notes!B13</f>
        <v>3.0000000000000001E-3</v>
      </c>
      <c r="C13" s="14">
        <f>[1]Notes!B4</f>
        <v>396000000</v>
      </c>
      <c r="D13" s="15">
        <f>[1]Notes!C4</f>
        <v>367746829.77999997</v>
      </c>
      <c r="E13" s="14">
        <f>[1]Notes!I4</f>
        <v>341695024.33999997</v>
      </c>
      <c r="F13" s="16">
        <f>E13/C13</f>
        <v>0.86286622308080796</v>
      </c>
      <c r="G13" s="17"/>
    </row>
    <row r="14" spans="1:27" ht="13.9" x14ac:dyDescent="0.25">
      <c r="A14" s="19" t="s">
        <v>17</v>
      </c>
      <c r="B14" s="21">
        <f>[1]Notes!B14</f>
        <v>0</v>
      </c>
      <c r="C14" s="14">
        <f>[1]Notes!B5</f>
        <v>0</v>
      </c>
      <c r="D14" s="15">
        <f>[1]Notes!C5</f>
        <v>0</v>
      </c>
      <c r="E14" s="14">
        <f>[1]Notes!I5</f>
        <v>0</v>
      </c>
      <c r="F14" s="16">
        <f>IF(C14=0,0,E14/C14)</f>
        <v>0</v>
      </c>
      <c r="G14" s="17"/>
    </row>
    <row r="15" spans="1:27" ht="13.9" x14ac:dyDescent="0.25">
      <c r="A15" s="19" t="s">
        <v>18</v>
      </c>
      <c r="B15" s="20">
        <f>[1]Notes!B15</f>
        <v>5.1999999999999998E-3</v>
      </c>
      <c r="C15" s="14">
        <f>[1]Notes!B6</f>
        <v>396000000</v>
      </c>
      <c r="D15" s="15">
        <f>[1]Notes!C6</f>
        <v>396000000</v>
      </c>
      <c r="E15" s="14">
        <f>[1]Notes!I6</f>
        <v>396000000</v>
      </c>
      <c r="F15" s="16">
        <f>E15/C15</f>
        <v>1</v>
      </c>
    </row>
    <row r="16" spans="1:27" ht="13.9" x14ac:dyDescent="0.25">
      <c r="A16" s="19" t="s">
        <v>19</v>
      </c>
      <c r="B16" s="20">
        <f>[1]Notes!B16</f>
        <v>6.4999999999999997E-3</v>
      </c>
      <c r="C16" s="14">
        <f>[1]Notes!B7</f>
        <v>85000000</v>
      </c>
      <c r="D16" s="15">
        <f>[1]Notes!C7</f>
        <v>85000000</v>
      </c>
      <c r="E16" s="14">
        <f>[1]Notes!I7</f>
        <v>85000000</v>
      </c>
      <c r="F16" s="16">
        <f t="shared" si="0"/>
        <v>1</v>
      </c>
    </row>
    <row r="17" spans="1:10" ht="13.9" x14ac:dyDescent="0.25">
      <c r="A17" s="19" t="s">
        <v>20</v>
      </c>
      <c r="B17" s="20">
        <f>[1]Notes!B17</f>
        <v>0</v>
      </c>
      <c r="C17" s="14">
        <f>[1]Notes!B8</f>
        <v>197605445.03999999</v>
      </c>
      <c r="D17" s="15">
        <f>[1]Notes!C8</f>
        <v>197605445.03999999</v>
      </c>
      <c r="E17" s="14">
        <f>[1]Notes!I8</f>
        <v>197605445.03999999</v>
      </c>
      <c r="F17" s="16">
        <f t="shared" si="0"/>
        <v>1</v>
      </c>
    </row>
    <row r="18" spans="1:10" ht="13.9" x14ac:dyDescent="0.25">
      <c r="A18" s="19"/>
      <c r="B18" s="22"/>
      <c r="C18" s="23"/>
      <c r="D18" s="23"/>
      <c r="E18" s="23"/>
      <c r="F18" s="23"/>
    </row>
    <row r="19" spans="1:10" ht="13.9" x14ac:dyDescent="0.25">
      <c r="A19" s="19"/>
      <c r="B19" s="22"/>
      <c r="F19" s="23"/>
      <c r="G19" s="17"/>
    </row>
    <row r="20" spans="1:10" ht="27.6" x14ac:dyDescent="0.25">
      <c r="A20" s="19"/>
      <c r="B20" s="24" t="s">
        <v>21</v>
      </c>
      <c r="C20" s="24" t="s">
        <v>22</v>
      </c>
      <c r="D20" s="24" t="s">
        <v>23</v>
      </c>
      <c r="E20" s="24" t="s">
        <v>24</v>
      </c>
      <c r="F20" s="23"/>
    </row>
    <row r="21" spans="1:10" ht="13.9" x14ac:dyDescent="0.25">
      <c r="A21" s="19" t="s">
        <v>15</v>
      </c>
      <c r="B21" s="14">
        <f>[1]Notes!G3</f>
        <v>0</v>
      </c>
      <c r="C21" s="14">
        <f>[1]Notes!H12</f>
        <v>0</v>
      </c>
      <c r="D21" s="16">
        <f t="shared" ref="D21:D26" si="1">B21/(C12/1000)</f>
        <v>0</v>
      </c>
      <c r="E21" s="16">
        <f t="shared" ref="E21:E26" si="2">C21/(C12/1000)</f>
        <v>0</v>
      </c>
      <c r="F21" s="23"/>
    </row>
    <row r="22" spans="1:10" ht="13.9" x14ac:dyDescent="0.25">
      <c r="A22" s="19" t="s">
        <v>16</v>
      </c>
      <c r="B22" s="14">
        <f>[1]Notes!G4</f>
        <v>26051805.44000002</v>
      </c>
      <c r="C22" s="14">
        <f>[1]Notes!H13</f>
        <v>91936.71</v>
      </c>
      <c r="D22" s="16">
        <f t="shared" si="1"/>
        <v>65.787387474747518</v>
      </c>
      <c r="E22" s="16">
        <f t="shared" si="2"/>
        <v>0.2321634090909091</v>
      </c>
      <c r="F22" s="23"/>
    </row>
    <row r="23" spans="1:10" ht="13.9" x14ac:dyDescent="0.25">
      <c r="A23" s="19" t="s">
        <v>17</v>
      </c>
      <c r="B23" s="14">
        <f>[1]Notes!G5</f>
        <v>0</v>
      </c>
      <c r="C23" s="14">
        <f>[1]Notes!H14</f>
        <v>0</v>
      </c>
      <c r="D23" s="16">
        <f>IF(B23=0,0,B23/(C14/1000))</f>
        <v>0</v>
      </c>
      <c r="E23" s="16">
        <f>IF(B23=0,0,C23/(C14/1000))</f>
        <v>0</v>
      </c>
      <c r="F23" s="23"/>
    </row>
    <row r="24" spans="1:10" ht="13.9" x14ac:dyDescent="0.25">
      <c r="A24" s="19" t="s">
        <v>18</v>
      </c>
      <c r="B24" s="14">
        <f>[1]Notes!G6</f>
        <v>0</v>
      </c>
      <c r="C24" s="14">
        <f>[1]Notes!H15</f>
        <v>171600</v>
      </c>
      <c r="D24" s="16">
        <f t="shared" si="1"/>
        <v>0</v>
      </c>
      <c r="E24" s="16">
        <f t="shared" si="2"/>
        <v>0.43333333333333335</v>
      </c>
      <c r="F24" s="23"/>
    </row>
    <row r="25" spans="1:10" ht="13.9" x14ac:dyDescent="0.25">
      <c r="A25" s="19" t="s">
        <v>19</v>
      </c>
      <c r="B25" s="14">
        <f>[1]Notes!G7</f>
        <v>0</v>
      </c>
      <c r="C25" s="14">
        <f>[1]Notes!H16</f>
        <v>46041.67</v>
      </c>
      <c r="D25" s="16">
        <f t="shared" si="1"/>
        <v>0</v>
      </c>
      <c r="E25" s="16">
        <f t="shared" si="2"/>
        <v>0.54166670588235288</v>
      </c>
      <c r="F25" s="23"/>
    </row>
    <row r="26" spans="1:10" ht="13.9" x14ac:dyDescent="0.25">
      <c r="A26" s="19" t="s">
        <v>20</v>
      </c>
      <c r="B26" s="14">
        <f>[1]Notes!G8</f>
        <v>0</v>
      </c>
      <c r="C26" s="14">
        <f>[1]Notes!H17</f>
        <v>0</v>
      </c>
      <c r="D26" s="16">
        <f t="shared" si="1"/>
        <v>0</v>
      </c>
      <c r="E26" s="16">
        <f t="shared" si="2"/>
        <v>0</v>
      </c>
      <c r="F26" s="23"/>
    </row>
    <row r="27" spans="1:10" ht="13.9" x14ac:dyDescent="0.25">
      <c r="A27" s="7" t="s">
        <v>14</v>
      </c>
      <c r="B27" s="14">
        <f>SUM(B21:B26)</f>
        <v>26051805.44000002</v>
      </c>
      <c r="C27" s="14">
        <f>SUM(C21:C26)</f>
        <v>309578.38</v>
      </c>
      <c r="D27" s="25"/>
      <c r="E27" s="26"/>
      <c r="F27" s="23"/>
    </row>
    <row r="28" spans="1:10" ht="13.9" x14ac:dyDescent="0.25">
      <c r="A28" s="7"/>
      <c r="B28" s="27"/>
      <c r="D28" s="28"/>
      <c r="E28" s="28"/>
      <c r="F28" s="27"/>
    </row>
    <row r="29" spans="1:10" ht="13.9" x14ac:dyDescent="0.25">
      <c r="A29" s="7" t="s">
        <v>25</v>
      </c>
      <c r="B29" s="27"/>
      <c r="D29" s="28"/>
      <c r="E29" s="28"/>
    </row>
    <row r="30" spans="1:10" ht="13.9" x14ac:dyDescent="0.25">
      <c r="A30" s="7"/>
    </row>
    <row r="31" spans="1:10" ht="13.9" x14ac:dyDescent="0.25">
      <c r="A31" s="29" t="s">
        <v>26</v>
      </c>
    </row>
    <row r="32" spans="1:10" ht="13.9" x14ac:dyDescent="0.25">
      <c r="A32" s="30" t="s">
        <v>27</v>
      </c>
      <c r="H32" s="31">
        <f>[1]Sources!B5</f>
        <v>13297961.810000001</v>
      </c>
      <c r="I32" s="32"/>
      <c r="J32" s="17"/>
    </row>
    <row r="33" spans="1:10" ht="13.9" x14ac:dyDescent="0.25">
      <c r="A33" s="30" t="s">
        <v>28</v>
      </c>
      <c r="H33" s="33">
        <f>[1]Sources!B4</f>
        <v>5143689.84</v>
      </c>
      <c r="I33" s="34"/>
      <c r="J33" s="17"/>
    </row>
    <row r="34" spans="1:10" ht="13.9" x14ac:dyDescent="0.25">
      <c r="A34" s="7" t="s">
        <v>29</v>
      </c>
      <c r="E34" s="28"/>
      <c r="F34" s="17"/>
      <c r="H34" s="35">
        <f>SUM(H32:H33)</f>
        <v>18441651.649999999</v>
      </c>
      <c r="I34" s="36"/>
      <c r="J34" s="17"/>
    </row>
    <row r="35" spans="1:10" ht="13.9" x14ac:dyDescent="0.25">
      <c r="A35" s="7"/>
      <c r="E35" s="28"/>
      <c r="F35" s="17"/>
      <c r="H35" s="37"/>
      <c r="I35" s="36"/>
    </row>
    <row r="36" spans="1:10" ht="13.9" x14ac:dyDescent="0.25">
      <c r="A36" s="7" t="s">
        <v>30</v>
      </c>
      <c r="H36" s="35">
        <f>VLOOKUP("INT_RATE_CAP_RECEIPTS",'[1]Current Data'!B:G,3,FALSE)</f>
        <v>0</v>
      </c>
      <c r="I36" s="38"/>
      <c r="J36" s="17"/>
    </row>
    <row r="37" spans="1:10" ht="13.9" x14ac:dyDescent="0.25">
      <c r="A37" s="7"/>
      <c r="I37" s="7"/>
    </row>
    <row r="38" spans="1:10" ht="13.9" x14ac:dyDescent="0.25">
      <c r="A38" s="29" t="s">
        <v>31</v>
      </c>
      <c r="I38" s="7"/>
    </row>
    <row r="39" spans="1:10" ht="13.9" x14ac:dyDescent="0.25">
      <c r="A39" s="30" t="s">
        <v>32</v>
      </c>
      <c r="D39" s="39"/>
      <c r="H39" s="40">
        <f>[1]Sources!B6</f>
        <v>634372.41</v>
      </c>
      <c r="I39" s="38"/>
      <c r="J39" s="17"/>
    </row>
    <row r="40" spans="1:10" ht="13.9" x14ac:dyDescent="0.25">
      <c r="A40" s="30" t="s">
        <v>33</v>
      </c>
      <c r="F40" s="17"/>
      <c r="H40" s="33">
        <f>[1]Sources!B7</f>
        <v>320416.5</v>
      </c>
      <c r="I40" s="34"/>
      <c r="J40" s="17"/>
    </row>
    <row r="41" spans="1:10" ht="13.9" x14ac:dyDescent="0.25">
      <c r="A41" s="19" t="s">
        <v>34</v>
      </c>
      <c r="F41" s="41"/>
      <c r="H41" s="35">
        <f>SUM(H39:H40)</f>
        <v>954788.91</v>
      </c>
      <c r="I41" s="36"/>
      <c r="J41" s="17"/>
    </row>
    <row r="42" spans="1:10" ht="13.9" x14ac:dyDescent="0.25">
      <c r="A42" s="30"/>
      <c r="G42" s="17"/>
      <c r="H42" s="37"/>
      <c r="I42" s="38"/>
    </row>
    <row r="43" spans="1:10" ht="13.9" x14ac:dyDescent="0.25">
      <c r="A43" s="7"/>
      <c r="I43" s="7"/>
    </row>
    <row r="44" spans="1:10" ht="13.9" x14ac:dyDescent="0.25">
      <c r="A44" s="29" t="s">
        <v>35</v>
      </c>
      <c r="I44" s="7"/>
    </row>
    <row r="45" spans="1:10" ht="14.45" x14ac:dyDescent="0.3">
      <c r="A45" s="19" t="s">
        <v>36</v>
      </c>
      <c r="G45"/>
      <c r="H45" s="35">
        <f>[1]Sources!B9</f>
        <v>0</v>
      </c>
      <c r="I45" s="36"/>
      <c r="J45" s="17"/>
    </row>
    <row r="46" spans="1:10" ht="13.9" x14ac:dyDescent="0.25">
      <c r="A46" s="19" t="s">
        <v>37</v>
      </c>
      <c r="H46" s="40">
        <f>[1]Sources!B11</f>
        <v>0</v>
      </c>
      <c r="I46" s="38"/>
      <c r="J46" s="17"/>
    </row>
    <row r="47" spans="1:10" ht="13.9" x14ac:dyDescent="0.25">
      <c r="A47" s="19" t="s">
        <v>38</v>
      </c>
      <c r="F47" s="17"/>
      <c r="G47" s="32"/>
      <c r="H47" s="31">
        <f>[1]Sources!B12+[1]Sources!B8</f>
        <v>13628278.32</v>
      </c>
      <c r="I47" s="32"/>
      <c r="J47" s="17"/>
    </row>
    <row r="48" spans="1:10" ht="13.9" x14ac:dyDescent="0.25">
      <c r="A48" s="19" t="s">
        <v>39</v>
      </c>
      <c r="H48" s="31">
        <f>[1]Sources!B13</f>
        <v>0</v>
      </c>
      <c r="I48" s="32"/>
      <c r="J48" s="17"/>
    </row>
    <row r="49" spans="1:10" ht="13.9" x14ac:dyDescent="0.25">
      <c r="A49" s="19" t="s">
        <v>40</v>
      </c>
      <c r="H49" s="40">
        <f>[1]Sources!B14</f>
        <v>0</v>
      </c>
      <c r="I49" s="38"/>
      <c r="J49" s="17"/>
    </row>
    <row r="50" spans="1:10" ht="13.9" x14ac:dyDescent="0.25">
      <c r="A50" s="19" t="s">
        <v>41</v>
      </c>
      <c r="H50" s="31">
        <f>F61-VLOOKUP("5042_net_ins_proceeds",'[1]Current Data'!B:D,3,FALSE)</f>
        <v>1722614.65</v>
      </c>
      <c r="I50" s="32"/>
      <c r="J50" s="17"/>
    </row>
    <row r="51" spans="1:10" x14ac:dyDescent="0.25">
      <c r="A51" s="19" t="s">
        <v>42</v>
      </c>
      <c r="H51" s="42">
        <f>[1]Sources!B16</f>
        <v>95168.5</v>
      </c>
      <c r="I51" s="43"/>
      <c r="J51" s="17"/>
    </row>
    <row r="52" spans="1:10" x14ac:dyDescent="0.25">
      <c r="A52" s="7" t="s">
        <v>43</v>
      </c>
      <c r="F52" s="17"/>
      <c r="H52" s="44">
        <f>SUM(H45:H51)+H34+H36+H41</f>
        <v>34842502.029999994</v>
      </c>
      <c r="I52" s="44"/>
      <c r="J52" s="17"/>
    </row>
    <row r="53" spans="1:10" x14ac:dyDescent="0.25">
      <c r="A53" s="7"/>
      <c r="F53" s="17"/>
      <c r="H53" s="45"/>
    </row>
    <row r="54" spans="1:10" x14ac:dyDescent="0.25">
      <c r="A54" s="7"/>
      <c r="E54" s="46" t="s">
        <v>44</v>
      </c>
      <c r="F54" s="17"/>
      <c r="H54" s="45"/>
    </row>
    <row r="55" spans="1:10" x14ac:dyDescent="0.25">
      <c r="A55" s="7" t="s">
        <v>45</v>
      </c>
      <c r="E55" s="47" t="s">
        <v>46</v>
      </c>
      <c r="F55" s="48" t="s">
        <v>47</v>
      </c>
      <c r="G55" s="47" t="s">
        <v>48</v>
      </c>
      <c r="H55" s="44" t="s">
        <v>49</v>
      </c>
    </row>
    <row r="56" spans="1:10" x14ac:dyDescent="0.25">
      <c r="A56" s="19" t="s">
        <v>50</v>
      </c>
      <c r="B56" s="1" t="s">
        <v>51</v>
      </c>
      <c r="E56" s="49">
        <f>[1]Disposition!C4</f>
        <v>593094</v>
      </c>
      <c r="F56" s="49"/>
      <c r="G56" s="50"/>
      <c r="H56" s="51">
        <f>[1]Disposition!B4</f>
        <v>20</v>
      </c>
      <c r="I56" s="41"/>
    </row>
    <row r="57" spans="1:10" x14ac:dyDescent="0.25">
      <c r="A57" s="19" t="s">
        <v>52</v>
      </c>
      <c r="E57" s="49">
        <f>[1]Disposition!C5</f>
        <v>56178</v>
      </c>
      <c r="F57" s="49"/>
      <c r="G57" s="50"/>
      <c r="H57" s="51">
        <f>[1]Disposition!B5</f>
        <v>3</v>
      </c>
      <c r="I57" s="41"/>
    </row>
    <row r="58" spans="1:10" x14ac:dyDescent="0.25">
      <c r="A58" s="19" t="s">
        <v>53</v>
      </c>
      <c r="E58" s="49">
        <f>[1]Disposition!C6</f>
        <v>43109</v>
      </c>
      <c r="F58" s="50"/>
      <c r="G58" s="50"/>
      <c r="H58" s="51">
        <f>[1]Disposition!B6</f>
        <v>3</v>
      </c>
    </row>
    <row r="59" spans="1:10" x14ac:dyDescent="0.25">
      <c r="A59" s="19" t="s">
        <v>54</v>
      </c>
      <c r="E59" s="49">
        <f>[1]Disposition!C7</f>
        <v>0</v>
      </c>
      <c r="F59" s="50"/>
      <c r="G59" s="50"/>
      <c r="H59" s="51">
        <f>[1]Disposition!B7</f>
        <v>0</v>
      </c>
    </row>
    <row r="60" spans="1:10" x14ac:dyDescent="0.25">
      <c r="A60" s="19" t="s">
        <v>55</v>
      </c>
      <c r="E60" s="49">
        <f>[1]Disposition!C8</f>
        <v>27447</v>
      </c>
      <c r="F60" s="50"/>
      <c r="G60" s="50"/>
      <c r="H60" s="51">
        <f>[1]Disposition!B8</f>
        <v>1</v>
      </c>
    </row>
    <row r="61" spans="1:10" x14ac:dyDescent="0.25">
      <c r="A61" s="19" t="s">
        <v>56</v>
      </c>
      <c r="E61" s="49"/>
      <c r="F61" s="49">
        <f>[1]Disposition!D9</f>
        <v>1716689.13</v>
      </c>
      <c r="G61" s="50"/>
      <c r="H61" s="51">
        <f>[1]Disposition!B9</f>
        <v>64</v>
      </c>
    </row>
    <row r="62" spans="1:10" x14ac:dyDescent="0.25">
      <c r="A62" s="19" t="s">
        <v>57</v>
      </c>
      <c r="E62" s="49"/>
      <c r="F62" s="49"/>
      <c r="G62" s="50">
        <f>[1]Disposition!E10</f>
        <v>162821.67000000001</v>
      </c>
      <c r="H62" s="51">
        <f>[1]Disposition!B10</f>
        <v>7</v>
      </c>
    </row>
    <row r="63" spans="1:10" x14ac:dyDescent="0.25">
      <c r="A63" s="19" t="s">
        <v>58</v>
      </c>
      <c r="E63" s="49"/>
      <c r="F63" s="52"/>
      <c r="G63" s="50">
        <f>[1]Disposition!E11</f>
        <v>12809677.470000001</v>
      </c>
      <c r="H63" s="51">
        <f>[1]Disposition!B11</f>
        <v>529</v>
      </c>
    </row>
    <row r="64" spans="1:10" x14ac:dyDescent="0.25">
      <c r="A64" s="19" t="s">
        <v>59</v>
      </c>
      <c r="E64" s="53"/>
      <c r="F64" s="53"/>
      <c r="G64" s="50">
        <f>[1]Disposition!E12</f>
        <v>0</v>
      </c>
      <c r="H64" s="51">
        <f>[1]Disposition!B12</f>
        <v>0</v>
      </c>
    </row>
    <row r="65" spans="1:10" x14ac:dyDescent="0.25">
      <c r="A65" s="30" t="s">
        <v>60</v>
      </c>
      <c r="E65" s="54">
        <f>SUM(E56:E64)</f>
        <v>719828</v>
      </c>
      <c r="F65" s="54">
        <f>SUM(F56:F64)</f>
        <v>1716689.13</v>
      </c>
      <c r="G65" s="55">
        <f>SUM(G56:G64)</f>
        <v>12972499.140000001</v>
      </c>
      <c r="H65" s="56">
        <f>SUM(H56:H64)</f>
        <v>627</v>
      </c>
      <c r="I65" s="41"/>
    </row>
    <row r="66" spans="1:10" x14ac:dyDescent="0.25">
      <c r="A66" s="7"/>
      <c r="H66" s="37"/>
    </row>
    <row r="67" spans="1:10" x14ac:dyDescent="0.25">
      <c r="A67" s="7"/>
      <c r="E67" s="41"/>
      <c r="F67" s="41"/>
      <c r="G67" s="41"/>
      <c r="H67" s="41"/>
    </row>
    <row r="68" spans="1:10" x14ac:dyDescent="0.25">
      <c r="A68" s="7"/>
      <c r="H68" s="37"/>
    </row>
    <row r="69" spans="1:10" x14ac:dyDescent="0.25">
      <c r="A69" s="7" t="s">
        <v>61</v>
      </c>
      <c r="D69" s="2"/>
      <c r="F69" s="57"/>
      <c r="H69" s="37"/>
    </row>
    <row r="70" spans="1:10" x14ac:dyDescent="0.25">
      <c r="A70" s="7"/>
      <c r="D70" s="58" t="s">
        <v>62</v>
      </c>
      <c r="E70" s="58" t="s">
        <v>63</v>
      </c>
      <c r="F70" s="59" t="s">
        <v>64</v>
      </c>
      <c r="G70" s="60" t="s">
        <v>65</v>
      </c>
      <c r="H70" s="37"/>
    </row>
    <row r="71" spans="1:10" x14ac:dyDescent="0.25">
      <c r="A71" s="19" t="s">
        <v>66</v>
      </c>
      <c r="D71" s="61">
        <f>[1]Collateral!F2</f>
        <v>50674</v>
      </c>
      <c r="E71" s="62">
        <f>[1]Collateral!B2</f>
        <v>1201665741.9200001</v>
      </c>
      <c r="F71" s="63">
        <f>VLOOKUP("POOL_DISC_RATE",'[1]Current Data'!B:G,3,FALSE)</f>
        <v>7.0000000000000007E-2</v>
      </c>
      <c r="G71" s="62">
        <f>[1]Collateral!C2</f>
        <v>1046352274.8200001</v>
      </c>
      <c r="H71" s="37"/>
      <c r="I71" s="41"/>
    </row>
    <row r="72" spans="1:10" x14ac:dyDescent="0.25">
      <c r="A72" s="19" t="s">
        <v>67</v>
      </c>
      <c r="D72" s="64"/>
      <c r="E72" s="65">
        <f>-[1]Collateral!B3</f>
        <v>-16310458.199999999</v>
      </c>
      <c r="F72" s="66"/>
      <c r="G72" s="31">
        <f>-[1]Collateral!C3</f>
        <v>-12776086.980000019</v>
      </c>
      <c r="H72" s="37"/>
      <c r="I72" s="41"/>
    </row>
    <row r="73" spans="1:10" x14ac:dyDescent="0.25">
      <c r="A73" s="19" t="s">
        <v>68</v>
      </c>
      <c r="D73" s="67">
        <f>-[1]Collateral!F4</f>
        <v>-75</v>
      </c>
      <c r="E73" s="65">
        <f>-[1]Collateral!B4</f>
        <v>-1737574.58</v>
      </c>
      <c r="F73" s="66"/>
      <c r="G73" s="31">
        <f>-[1]Collateral!C4</f>
        <v>-1551557.19</v>
      </c>
      <c r="H73" s="37"/>
      <c r="I73" s="41"/>
    </row>
    <row r="74" spans="1:10" x14ac:dyDescent="0.25">
      <c r="A74" s="19" t="s">
        <v>69</v>
      </c>
      <c r="D74" s="67">
        <f>-[1]Collateral!F5</f>
        <v>0</v>
      </c>
      <c r="E74" s="65">
        <f>-[1]Collateral!B5</f>
        <v>0</v>
      </c>
      <c r="F74" s="66"/>
      <c r="G74" s="31">
        <f>-[1]Collateral!C5</f>
        <v>0</v>
      </c>
      <c r="H74" s="37"/>
      <c r="I74" s="41"/>
    </row>
    <row r="75" spans="1:10" x14ac:dyDescent="0.25">
      <c r="A75" s="19" t="s">
        <v>70</v>
      </c>
      <c r="C75" s="17"/>
      <c r="D75" s="67">
        <f>-[1]Collateral!F6</f>
        <v>0</v>
      </c>
      <c r="E75" s="65">
        <f>-[1]Collateral!B6</f>
        <v>0</v>
      </c>
      <c r="F75" s="66"/>
      <c r="G75" s="31">
        <f>-[1]Collateral!C6</f>
        <v>0</v>
      </c>
      <c r="H75" s="37"/>
      <c r="I75" s="41"/>
    </row>
    <row r="76" spans="1:10" x14ac:dyDescent="0.25">
      <c r="A76" s="19" t="s">
        <v>71</v>
      </c>
      <c r="D76" s="67">
        <f>-[1]Collateral!F7</f>
        <v>-554</v>
      </c>
      <c r="E76" s="65">
        <f>-[1]Collateral!B7</f>
        <v>-13316018.779999999</v>
      </c>
      <c r="F76" s="68"/>
      <c r="G76" s="31">
        <f>-[1]Collateral!C7</f>
        <v>-11724161.27</v>
      </c>
      <c r="H76" s="37"/>
      <c r="I76" s="41"/>
      <c r="J76" s="41"/>
    </row>
    <row r="77" spans="1:10" x14ac:dyDescent="0.25">
      <c r="A77" s="19" t="s">
        <v>72</v>
      </c>
      <c r="C77" s="69"/>
      <c r="D77" s="70">
        <f>SUM(D71:D76)</f>
        <v>50045</v>
      </c>
      <c r="E77" s="71">
        <f>SUM(E71:E76)</f>
        <v>1170301690.3600001</v>
      </c>
      <c r="F77" s="72"/>
      <c r="G77" s="71">
        <f>SUM(G71:G76)</f>
        <v>1020300469.38</v>
      </c>
      <c r="H77" s="45"/>
      <c r="I77" s="41"/>
    </row>
    <row r="78" spans="1:10" x14ac:dyDescent="0.25">
      <c r="A78" s="73"/>
      <c r="C78" s="41"/>
      <c r="E78" s="74" t="str">
        <f>IF(E77=[1]Collateral!B8," ","error")</f>
        <v xml:space="preserve"> </v>
      </c>
      <c r="G78" s="74" t="str">
        <f>IF(G77=[1]Collateral!C8," ","error")</f>
        <v xml:space="preserve"> </v>
      </c>
      <c r="H78" s="45"/>
    </row>
    <row r="79" spans="1:10" x14ac:dyDescent="0.25">
      <c r="A79" s="75" t="s">
        <v>73</v>
      </c>
      <c r="C79" s="41"/>
      <c r="H79" s="45"/>
    </row>
    <row r="80" spans="1:10" x14ac:dyDescent="0.25">
      <c r="A80" s="76" t="s">
        <v>74</v>
      </c>
      <c r="C80" s="41"/>
      <c r="G80" s="49">
        <f>VLOOKUP("POOL_LEASE_PAY_SEC_VAL",'[1]Current Data'!B:F,3,FALSE)</f>
        <v>300300427.41000003</v>
      </c>
      <c r="H80" s="45"/>
      <c r="I80" s="41"/>
    </row>
    <row r="81" spans="1:10" x14ac:dyDescent="0.25">
      <c r="A81" s="76" t="s">
        <v>75</v>
      </c>
      <c r="C81" s="41"/>
      <c r="G81" s="53">
        <f>VLOOKUP("POOL_RESIDUAL_SEC_VAL",'[1]Current Data'!B:F,3,FALSE)</f>
        <v>720000041.97000003</v>
      </c>
      <c r="H81" s="45"/>
      <c r="I81" s="41"/>
    </row>
    <row r="82" spans="1:10" x14ac:dyDescent="0.25">
      <c r="A82" s="77" t="s">
        <v>60</v>
      </c>
      <c r="C82" s="41"/>
      <c r="G82" s="78">
        <f>SUM(G80:G81)</f>
        <v>1020300469.3800001</v>
      </c>
      <c r="H82" s="45"/>
      <c r="I82" s="41"/>
    </row>
    <row r="83" spans="1:10" x14ac:dyDescent="0.25">
      <c r="A83" s="76"/>
      <c r="C83" s="41"/>
      <c r="H83" s="45"/>
    </row>
    <row r="84" spans="1:10" x14ac:dyDescent="0.25">
      <c r="A84" s="79"/>
      <c r="C84" s="41"/>
      <c r="H84" s="45"/>
    </row>
    <row r="85" spans="1:10" x14ac:dyDescent="0.25">
      <c r="A85" s="7" t="s">
        <v>76</v>
      </c>
      <c r="G85" s="80"/>
    </row>
    <row r="86" spans="1:10" x14ac:dyDescent="0.25">
      <c r="A86" s="7"/>
      <c r="G86" s="41"/>
    </row>
    <row r="87" spans="1:10" x14ac:dyDescent="0.25">
      <c r="A87" s="19" t="s">
        <v>43</v>
      </c>
      <c r="E87" s="41"/>
      <c r="F87" s="17"/>
      <c r="H87" s="81">
        <f>[1]Sources!B18</f>
        <v>34842502.030000001</v>
      </c>
      <c r="I87" s="17"/>
      <c r="J87" s="17"/>
    </row>
    <row r="88" spans="1:10" x14ac:dyDescent="0.25">
      <c r="A88" s="19" t="s">
        <v>77</v>
      </c>
      <c r="H88" s="82">
        <f>IF([1]Notes!L1="Regular",[1]Sources!F23,[1]Sources!F25)</f>
        <v>0</v>
      </c>
      <c r="J88" s="17"/>
    </row>
    <row r="89" spans="1:10" x14ac:dyDescent="0.25">
      <c r="A89" s="19" t="s">
        <v>78</v>
      </c>
      <c r="F89" s="17"/>
      <c r="H89" s="81">
        <f>H87+H88</f>
        <v>34842502.030000001</v>
      </c>
      <c r="J89" s="17"/>
    </row>
    <row r="90" spans="1:10" x14ac:dyDescent="0.25">
      <c r="A90" s="19"/>
      <c r="H90" s="17"/>
    </row>
    <row r="91" spans="1:10" x14ac:dyDescent="0.25">
      <c r="A91" s="19" t="s">
        <v>79</v>
      </c>
      <c r="F91" s="17"/>
      <c r="H91" s="81">
        <f>[1]Notes!C30</f>
        <v>0</v>
      </c>
      <c r="J91" s="17"/>
    </row>
    <row r="92" spans="1:10" x14ac:dyDescent="0.25">
      <c r="A92" s="19" t="s">
        <v>80</v>
      </c>
      <c r="F92" s="17"/>
      <c r="H92" s="83">
        <f>[1]Notes!C28</f>
        <v>411121.61</v>
      </c>
      <c r="J92" s="17"/>
    </row>
    <row r="93" spans="1:10" x14ac:dyDescent="0.25">
      <c r="A93" s="7" t="s">
        <v>81</v>
      </c>
      <c r="H93" s="84">
        <f>[1]Notes!C29</f>
        <v>361502.6</v>
      </c>
      <c r="J93" s="17"/>
    </row>
    <row r="94" spans="1:10" x14ac:dyDescent="0.25">
      <c r="A94" s="19" t="s">
        <v>82</v>
      </c>
      <c r="H94" s="7"/>
    </row>
    <row r="95" spans="1:10" x14ac:dyDescent="0.25">
      <c r="A95" s="30" t="s">
        <v>83</v>
      </c>
      <c r="H95" s="81">
        <f>[1]Notes!C32</f>
        <v>871960.23</v>
      </c>
      <c r="J95" s="17"/>
    </row>
    <row r="96" spans="1:10" x14ac:dyDescent="0.25">
      <c r="A96" s="30" t="s">
        <v>84</v>
      </c>
      <c r="H96" s="81">
        <f>[1]Waterfall!F5</f>
        <v>871960.23</v>
      </c>
      <c r="J96" s="17"/>
    </row>
    <row r="97" spans="1:10" x14ac:dyDescent="0.25">
      <c r="A97" s="30" t="s">
        <v>85</v>
      </c>
      <c r="H97" s="85">
        <f>IF(H96&lt;H95,H95-H96,0)</f>
        <v>0</v>
      </c>
      <c r="J97" s="17"/>
    </row>
    <row r="98" spans="1:10" x14ac:dyDescent="0.25">
      <c r="A98" s="30" t="s">
        <v>86</v>
      </c>
      <c r="H98" s="86">
        <f>H91+H92+H93+H96</f>
        <v>1644584.44</v>
      </c>
      <c r="I98" s="17"/>
      <c r="J98" s="17"/>
    </row>
    <row r="99" spans="1:10" x14ac:dyDescent="0.25">
      <c r="A99" s="73"/>
    </row>
    <row r="100" spans="1:10" x14ac:dyDescent="0.25">
      <c r="A100" s="19" t="s">
        <v>87</v>
      </c>
    </row>
    <row r="101" spans="1:10" x14ac:dyDescent="0.25">
      <c r="A101" s="87" t="s">
        <v>88</v>
      </c>
    </row>
    <row r="102" spans="1:10" x14ac:dyDescent="0.25">
      <c r="A102" s="88" t="s">
        <v>89</v>
      </c>
      <c r="H102" s="81">
        <f>[1]Notes!E12</f>
        <v>0</v>
      </c>
      <c r="J102" s="17"/>
    </row>
    <row r="103" spans="1:10" x14ac:dyDescent="0.25">
      <c r="A103" s="88" t="s">
        <v>90</v>
      </c>
      <c r="H103" s="81">
        <f>[1]Notes!F13</f>
        <v>0</v>
      </c>
      <c r="J103" s="17"/>
    </row>
    <row r="104" spans="1:10" x14ac:dyDescent="0.25">
      <c r="A104" s="88" t="s">
        <v>91</v>
      </c>
      <c r="H104" s="81">
        <f>[1]Notes!G12</f>
        <v>0</v>
      </c>
      <c r="J104" s="17"/>
    </row>
    <row r="105" spans="1:10" x14ac:dyDescent="0.25">
      <c r="A105" s="88"/>
      <c r="H105" s="81"/>
    </row>
    <row r="106" spans="1:10" x14ac:dyDescent="0.25">
      <c r="A106" s="88" t="s">
        <v>92</v>
      </c>
      <c r="H106" s="81">
        <f>[1]Notes!H12</f>
        <v>0</v>
      </c>
      <c r="J106" s="17"/>
    </row>
    <row r="107" spans="1:10" x14ac:dyDescent="0.25">
      <c r="A107" s="88" t="s">
        <v>93</v>
      </c>
      <c r="H107" s="86">
        <f>IF(H106&lt;H104,H104-H106,0)</f>
        <v>0</v>
      </c>
      <c r="J107" s="17"/>
    </row>
    <row r="108" spans="1:10" x14ac:dyDescent="0.25">
      <c r="A108" s="7"/>
    </row>
    <row r="109" spans="1:10" x14ac:dyDescent="0.25">
      <c r="A109" s="87" t="s">
        <v>94</v>
      </c>
    </row>
    <row r="110" spans="1:10" x14ac:dyDescent="0.25">
      <c r="A110" s="88" t="s">
        <v>95</v>
      </c>
      <c r="H110" s="81">
        <f>[1]Notes!E13</f>
        <v>0</v>
      </c>
      <c r="J110" s="17"/>
    </row>
    <row r="111" spans="1:10" x14ac:dyDescent="0.25">
      <c r="A111" s="88" t="s">
        <v>96</v>
      </c>
      <c r="H111" s="81">
        <f>[1]Notes!F13</f>
        <v>0</v>
      </c>
      <c r="J111" s="17"/>
    </row>
    <row r="112" spans="1:10" x14ac:dyDescent="0.25">
      <c r="A112" s="88" t="s">
        <v>97</v>
      </c>
      <c r="H112" s="81">
        <f>[1]Notes!G13</f>
        <v>91936.71</v>
      </c>
      <c r="J112" s="17"/>
    </row>
    <row r="113" spans="1:10" x14ac:dyDescent="0.25">
      <c r="A113" s="88"/>
      <c r="H113" s="81"/>
    </row>
    <row r="114" spans="1:10" x14ac:dyDescent="0.25">
      <c r="A114" s="88" t="s">
        <v>98</v>
      </c>
      <c r="H114" s="81">
        <f>[1]Notes!H13</f>
        <v>91936.71</v>
      </c>
      <c r="J114" s="17"/>
    </row>
    <row r="115" spans="1:10" x14ac:dyDescent="0.25">
      <c r="A115" s="88" t="s">
        <v>99</v>
      </c>
      <c r="H115" s="86">
        <f>IF(H114&lt;H112,H112-H114,0)</f>
        <v>0</v>
      </c>
      <c r="J115" s="17"/>
    </row>
    <row r="116" spans="1:10" x14ac:dyDescent="0.25">
      <c r="A116" s="88"/>
    </row>
    <row r="117" spans="1:10" x14ac:dyDescent="0.25">
      <c r="A117" s="87" t="s">
        <v>100</v>
      </c>
    </row>
    <row r="118" spans="1:10" x14ac:dyDescent="0.25">
      <c r="A118" s="88" t="s">
        <v>101</v>
      </c>
      <c r="H118" s="81">
        <f>[1]Notes!E14</f>
        <v>0</v>
      </c>
      <c r="J118" s="17"/>
    </row>
    <row r="119" spans="1:10" x14ac:dyDescent="0.25">
      <c r="A119" s="88" t="s">
        <v>102</v>
      </c>
      <c r="H119" s="81">
        <f>[1]Notes!F14</f>
        <v>0</v>
      </c>
      <c r="J119" s="17"/>
    </row>
    <row r="120" spans="1:10" x14ac:dyDescent="0.25">
      <c r="A120" s="88" t="s">
        <v>103</v>
      </c>
      <c r="H120" s="81">
        <f>[1]Notes!G14</f>
        <v>0</v>
      </c>
      <c r="J120" s="17"/>
    </row>
    <row r="121" spans="1:10" x14ac:dyDescent="0.25">
      <c r="A121" s="88"/>
      <c r="H121" s="81"/>
    </row>
    <row r="122" spans="1:10" x14ac:dyDescent="0.25">
      <c r="A122" s="88" t="s">
        <v>104</v>
      </c>
      <c r="H122" s="81">
        <f>[1]Notes!H14</f>
        <v>0</v>
      </c>
      <c r="J122" s="17"/>
    </row>
    <row r="123" spans="1:10" x14ac:dyDescent="0.25">
      <c r="A123" s="88" t="s">
        <v>105</v>
      </c>
      <c r="H123" s="86">
        <f>IF(H122&lt;H120,H120-H122,0)</f>
        <v>0</v>
      </c>
      <c r="J123" s="17"/>
    </row>
    <row r="124" spans="1:10" x14ac:dyDescent="0.25">
      <c r="A124" s="88"/>
    </row>
    <row r="125" spans="1:10" x14ac:dyDescent="0.25">
      <c r="A125" s="87" t="s">
        <v>106</v>
      </c>
      <c r="H125" s="27"/>
    </row>
    <row r="126" spans="1:10" x14ac:dyDescent="0.25">
      <c r="A126" s="88" t="s">
        <v>107</v>
      </c>
      <c r="H126" s="81">
        <f>[1]Notes!E15</f>
        <v>0</v>
      </c>
      <c r="J126" s="17"/>
    </row>
    <row r="127" spans="1:10" x14ac:dyDescent="0.25">
      <c r="A127" s="88" t="s">
        <v>108</v>
      </c>
      <c r="H127" s="81">
        <f>[1]Notes!F15</f>
        <v>0</v>
      </c>
      <c r="J127" s="17"/>
    </row>
    <row r="128" spans="1:10" x14ac:dyDescent="0.25">
      <c r="A128" s="88" t="s">
        <v>109</v>
      </c>
      <c r="H128" s="81">
        <f>[1]Notes!G15</f>
        <v>171600</v>
      </c>
      <c r="J128" s="17"/>
    </row>
    <row r="129" spans="1:10" x14ac:dyDescent="0.25">
      <c r="A129" s="88"/>
      <c r="H129" s="81"/>
    </row>
    <row r="130" spans="1:10" x14ac:dyDescent="0.25">
      <c r="A130" s="88" t="s">
        <v>110</v>
      </c>
      <c r="H130" s="81">
        <f>[1]Notes!H15</f>
        <v>171600</v>
      </c>
      <c r="J130" s="17"/>
    </row>
    <row r="131" spans="1:10" x14ac:dyDescent="0.25">
      <c r="A131" s="88" t="s">
        <v>111</v>
      </c>
      <c r="H131" s="86">
        <f>IF(H130&lt;H128,H128-H130,0)</f>
        <v>0</v>
      </c>
      <c r="J131" s="17"/>
    </row>
    <row r="132" spans="1:10" x14ac:dyDescent="0.25">
      <c r="A132" s="7"/>
      <c r="H132" s="17" t="s">
        <v>51</v>
      </c>
    </row>
    <row r="133" spans="1:10" x14ac:dyDescent="0.25">
      <c r="A133" s="87" t="s">
        <v>112</v>
      </c>
    </row>
    <row r="134" spans="1:10" x14ac:dyDescent="0.25">
      <c r="A134" s="88" t="s">
        <v>113</v>
      </c>
      <c r="H134" s="81">
        <f>[1]Notes!E16</f>
        <v>0</v>
      </c>
      <c r="J134" s="17"/>
    </row>
    <row r="135" spans="1:10" x14ac:dyDescent="0.25">
      <c r="A135" s="88" t="s">
        <v>114</v>
      </c>
      <c r="H135" s="81">
        <f>[1]Notes!F16</f>
        <v>0</v>
      </c>
      <c r="J135" s="17"/>
    </row>
    <row r="136" spans="1:10" x14ac:dyDescent="0.25">
      <c r="A136" s="88" t="s">
        <v>115</v>
      </c>
      <c r="H136" s="81">
        <f>[1]Notes!G16</f>
        <v>46041.67</v>
      </c>
      <c r="J136" s="17"/>
    </row>
    <row r="137" spans="1:10" x14ac:dyDescent="0.25">
      <c r="A137" s="88"/>
      <c r="H137" s="81"/>
    </row>
    <row r="138" spans="1:10" x14ac:dyDescent="0.25">
      <c r="A138" s="88" t="s">
        <v>116</v>
      </c>
      <c r="H138" s="81">
        <f>[1]Notes!H16</f>
        <v>46041.67</v>
      </c>
      <c r="J138" s="17"/>
    </row>
    <row r="139" spans="1:10" x14ac:dyDescent="0.25">
      <c r="A139" s="88" t="s">
        <v>117</v>
      </c>
      <c r="H139" s="86">
        <f>IF(H138&lt;H136,H136-H138,0)</f>
        <v>0</v>
      </c>
      <c r="J139" s="17"/>
    </row>
    <row r="140" spans="1:10" x14ac:dyDescent="0.25">
      <c r="A140" s="87"/>
    </row>
    <row r="141" spans="1:10" x14ac:dyDescent="0.25">
      <c r="A141" s="87" t="s">
        <v>118</v>
      </c>
    </row>
    <row r="142" spans="1:10" x14ac:dyDescent="0.25">
      <c r="A142" s="88" t="s">
        <v>119</v>
      </c>
      <c r="H142" s="27">
        <f>[1]Notes!E17</f>
        <v>0</v>
      </c>
      <c r="J142" s="17"/>
    </row>
    <row r="143" spans="1:10" x14ac:dyDescent="0.25">
      <c r="A143" s="88" t="s">
        <v>120</v>
      </c>
      <c r="H143" s="27">
        <f>[1]Notes!F17</f>
        <v>0</v>
      </c>
      <c r="J143" s="17"/>
    </row>
    <row r="144" spans="1:10" x14ac:dyDescent="0.25">
      <c r="A144" s="88" t="s">
        <v>121</v>
      </c>
      <c r="H144" s="27">
        <f>[1]Notes!G17</f>
        <v>0</v>
      </c>
      <c r="J144" s="17"/>
    </row>
    <row r="145" spans="1:10" x14ac:dyDescent="0.25">
      <c r="A145" s="88"/>
      <c r="H145" s="27"/>
    </row>
    <row r="146" spans="1:10" x14ac:dyDescent="0.25">
      <c r="A146" s="88" t="s">
        <v>122</v>
      </c>
      <c r="H146" s="27">
        <f>[1]Notes!H17</f>
        <v>0</v>
      </c>
      <c r="J146" s="17"/>
    </row>
    <row r="147" spans="1:10" x14ac:dyDescent="0.25">
      <c r="A147" s="88" t="s">
        <v>123</v>
      </c>
      <c r="H147" s="27">
        <v>0</v>
      </c>
      <c r="J147" s="17"/>
    </row>
    <row r="148" spans="1:10" x14ac:dyDescent="0.25">
      <c r="A148" s="7"/>
      <c r="H148" s="17" t="s">
        <v>51</v>
      </c>
    </row>
    <row r="149" spans="1:10" x14ac:dyDescent="0.25">
      <c r="A149" s="87" t="s">
        <v>124</v>
      </c>
    </row>
    <row r="150" spans="1:10" x14ac:dyDescent="0.25">
      <c r="A150" s="88" t="s">
        <v>125</v>
      </c>
      <c r="H150" s="54">
        <f>[1]Waterfall!E6</f>
        <v>309578.38</v>
      </c>
      <c r="J150" s="17"/>
    </row>
    <row r="151" spans="1:10" x14ac:dyDescent="0.25">
      <c r="A151" s="88" t="s">
        <v>126</v>
      </c>
      <c r="H151" s="86">
        <f>[1]Waterfall!F6</f>
        <v>309578.38</v>
      </c>
      <c r="J151" s="17"/>
    </row>
    <row r="152" spans="1:10" x14ac:dyDescent="0.25">
      <c r="A152" s="88" t="s">
        <v>127</v>
      </c>
      <c r="H152" s="86">
        <f>IF(H150-H151&gt;0,H150-H151,0)</f>
        <v>0</v>
      </c>
      <c r="J152" s="17"/>
    </row>
    <row r="153" spans="1:10" x14ac:dyDescent="0.25">
      <c r="A153" s="88" t="s">
        <v>128</v>
      </c>
      <c r="H153" s="86">
        <v>0</v>
      </c>
      <c r="J153" s="17"/>
    </row>
    <row r="154" spans="1:10" x14ac:dyDescent="0.25">
      <c r="A154" s="7"/>
    </row>
    <row r="155" spans="1:10" x14ac:dyDescent="0.25">
      <c r="A155" s="19" t="s">
        <v>129</v>
      </c>
      <c r="F155" s="17"/>
      <c r="H155" s="17">
        <f>IF([1]Notes!L1="Regular",[1]Waterfall!C17,(H89-H98-H151))</f>
        <v>32888339.210000001</v>
      </c>
      <c r="J155" s="17"/>
    </row>
    <row r="156" spans="1:10" x14ac:dyDescent="0.25">
      <c r="A156" s="30"/>
    </row>
    <row r="157" spans="1:10" x14ac:dyDescent="0.25">
      <c r="A157" s="30" t="s">
        <v>130</v>
      </c>
    </row>
    <row r="158" spans="1:10" x14ac:dyDescent="0.25">
      <c r="A158" s="89" t="s">
        <v>131</v>
      </c>
      <c r="H158" s="86">
        <f>IF(H155&gt;H161,H161,IF(ABS(H155-H161)&lt;0.005,H161,"Funds Paid vs. Owed Discrepancy"))</f>
        <v>26051805.44000002</v>
      </c>
      <c r="J158" s="17"/>
    </row>
    <row r="159" spans="1:10" x14ac:dyDescent="0.25">
      <c r="A159" s="19"/>
      <c r="H159" s="7"/>
    </row>
    <row r="160" spans="1:10" x14ac:dyDescent="0.25">
      <c r="A160" s="30" t="s">
        <v>132</v>
      </c>
      <c r="H160" s="81">
        <f>[1]Sources!F6</f>
        <v>0</v>
      </c>
      <c r="J160" s="17"/>
    </row>
    <row r="161" spans="1:10" x14ac:dyDescent="0.25">
      <c r="A161" s="30" t="s">
        <v>133</v>
      </c>
      <c r="H161" s="81">
        <f>[1]Notes!G3+[1]Notes!G4+[1]Notes!G5+[1]Notes!G6+[1]Notes!G7</f>
        <v>26051805.44000002</v>
      </c>
      <c r="I161" s="17"/>
      <c r="J161" s="17"/>
    </row>
    <row r="162" spans="1:10" x14ac:dyDescent="0.25">
      <c r="A162" s="30" t="s">
        <v>134</v>
      </c>
      <c r="H162" s="86">
        <f>IF(H161-H158&gt;0,H161-H158,0)</f>
        <v>0</v>
      </c>
      <c r="J162" s="17"/>
    </row>
    <row r="163" spans="1:10" x14ac:dyDescent="0.25">
      <c r="A163" s="30"/>
      <c r="H163" s="17" t="s">
        <v>51</v>
      </c>
    </row>
    <row r="164" spans="1:10" x14ac:dyDescent="0.25">
      <c r="A164" s="30"/>
      <c r="H164" s="17" t="s">
        <v>51</v>
      </c>
    </row>
    <row r="165" spans="1:10" x14ac:dyDescent="0.25">
      <c r="A165" s="19" t="s">
        <v>135</v>
      </c>
      <c r="H165" s="86">
        <f>[1]Waterfall!F28</f>
        <v>0</v>
      </c>
      <c r="J165" s="17"/>
    </row>
    <row r="166" spans="1:10" x14ac:dyDescent="0.25">
      <c r="A166" s="19"/>
      <c r="H166" s="7"/>
    </row>
    <row r="167" spans="1:10" x14ac:dyDescent="0.25">
      <c r="A167" s="30" t="s">
        <v>136</v>
      </c>
      <c r="H167" s="81">
        <v>0</v>
      </c>
      <c r="J167" s="17"/>
    </row>
    <row r="168" spans="1:10" x14ac:dyDescent="0.25">
      <c r="A168" s="30" t="s">
        <v>137</v>
      </c>
      <c r="H168" s="86">
        <f>[1]Waterfall!E28</f>
        <v>0</v>
      </c>
      <c r="J168" s="17"/>
    </row>
    <row r="169" spans="1:10" x14ac:dyDescent="0.25">
      <c r="A169" s="30" t="s">
        <v>138</v>
      </c>
      <c r="H169" s="86">
        <v>0</v>
      </c>
      <c r="J169" s="17"/>
    </row>
    <row r="170" spans="1:10" x14ac:dyDescent="0.25">
      <c r="A170" s="30"/>
      <c r="H170" s="17" t="s">
        <v>51</v>
      </c>
    </row>
    <row r="171" spans="1:10" x14ac:dyDescent="0.25">
      <c r="A171" s="19" t="s">
        <v>139</v>
      </c>
      <c r="F171" s="17"/>
      <c r="H171" s="86">
        <f>ROUND(H155-H158-H165,2)</f>
        <v>6836533.7699999996</v>
      </c>
      <c r="I171" s="90"/>
      <c r="J171" s="17"/>
    </row>
    <row r="172" spans="1:10" x14ac:dyDescent="0.25">
      <c r="A172" s="81"/>
      <c r="B172" s="27"/>
      <c r="C172" s="27"/>
      <c r="D172" s="27"/>
      <c r="E172" s="27"/>
      <c r="F172" s="27"/>
      <c r="H172" s="27"/>
    </row>
    <row r="173" spans="1:10" x14ac:dyDescent="0.25">
      <c r="A173" s="73"/>
      <c r="C173" s="2"/>
      <c r="D173" s="3"/>
    </row>
    <row r="174" spans="1:10" x14ac:dyDescent="0.25">
      <c r="A174" s="73"/>
      <c r="C174" s="2"/>
      <c r="D174" s="3"/>
    </row>
    <row r="175" spans="1:10" x14ac:dyDescent="0.25">
      <c r="A175" s="73"/>
      <c r="C175" s="2"/>
      <c r="D175" s="3"/>
    </row>
    <row r="176" spans="1:10" x14ac:dyDescent="0.25">
      <c r="A176" s="73"/>
      <c r="C176" s="2"/>
      <c r="D176" s="3"/>
    </row>
    <row r="177" spans="1:10" x14ac:dyDescent="0.25">
      <c r="A177" s="7" t="s">
        <v>140</v>
      </c>
      <c r="C177" s="2"/>
      <c r="D177" s="3"/>
    </row>
    <row r="178" spans="1:10" x14ac:dyDescent="0.25">
      <c r="A178" s="7"/>
      <c r="C178" s="2"/>
      <c r="D178" s="3"/>
    </row>
    <row r="179" spans="1:10" x14ac:dyDescent="0.25">
      <c r="A179" s="19" t="s">
        <v>141</v>
      </c>
      <c r="C179" s="2"/>
      <c r="D179" s="3"/>
      <c r="G179" s="1" t="s">
        <v>51</v>
      </c>
      <c r="H179" s="86">
        <f>VLOOKUP("Reserve_Fund",'[1]Initial Data'!A:C,3,FALSE)</f>
        <v>2994013.61</v>
      </c>
      <c r="J179" s="17"/>
    </row>
    <row r="180" spans="1:10" x14ac:dyDescent="0.25">
      <c r="A180" s="19" t="s">
        <v>142</v>
      </c>
      <c r="C180" s="2"/>
      <c r="D180" s="3"/>
      <c r="H180" s="81">
        <f>[1]Notes!C23</f>
        <v>5988027.2300000004</v>
      </c>
      <c r="J180" s="17"/>
    </row>
    <row r="181" spans="1:10" x14ac:dyDescent="0.25">
      <c r="A181" s="19" t="s">
        <v>143</v>
      </c>
      <c r="C181" s="2"/>
      <c r="D181" s="3"/>
      <c r="H181" s="68">
        <f>'[1]Credit Support'!C5</f>
        <v>5988027.2300000004</v>
      </c>
      <c r="J181" s="17"/>
    </row>
    <row r="182" spans="1:10" x14ac:dyDescent="0.25">
      <c r="A182" s="19" t="s">
        <v>144</v>
      </c>
      <c r="C182" s="2"/>
      <c r="D182" s="3"/>
      <c r="H182" s="86">
        <f>'[1]Credit Support'!C6</f>
        <v>0</v>
      </c>
      <c r="J182" s="17"/>
    </row>
    <row r="183" spans="1:10" x14ac:dyDescent="0.25">
      <c r="A183" s="19" t="s">
        <v>145</v>
      </c>
      <c r="C183" s="2"/>
      <c r="D183" s="3"/>
      <c r="H183" s="83">
        <v>0</v>
      </c>
      <c r="J183" s="17"/>
    </row>
    <row r="184" spans="1:10" x14ac:dyDescent="0.25">
      <c r="A184" s="19" t="s">
        <v>146</v>
      </c>
      <c r="C184" s="2"/>
      <c r="D184" s="3"/>
      <c r="H184" s="81">
        <f>H181+H183+H182</f>
        <v>5988027.2300000004</v>
      </c>
      <c r="J184" s="17"/>
    </row>
    <row r="185" spans="1:10" x14ac:dyDescent="0.25">
      <c r="A185" s="19" t="s">
        <v>147</v>
      </c>
      <c r="C185" s="2"/>
      <c r="D185" s="3"/>
      <c r="H185" s="83">
        <f>-'[1]Credit Support'!C9</f>
        <v>0</v>
      </c>
      <c r="J185" s="17"/>
    </row>
    <row r="186" spans="1:10" x14ac:dyDescent="0.25">
      <c r="A186" s="19" t="s">
        <v>148</v>
      </c>
      <c r="C186" s="2"/>
      <c r="D186" s="3"/>
      <c r="F186" s="17"/>
      <c r="H186" s="81">
        <f>'[1]Credit Support'!C10</f>
        <v>6836533.7699999996</v>
      </c>
      <c r="J186" s="17"/>
    </row>
    <row r="187" spans="1:10" x14ac:dyDescent="0.25">
      <c r="A187" s="19" t="s">
        <v>149</v>
      </c>
      <c r="C187" s="2"/>
      <c r="D187" s="3"/>
      <c r="F187" s="17"/>
      <c r="H187" s="86">
        <f>H184-H185+H186</f>
        <v>12824561</v>
      </c>
      <c r="J187" s="17"/>
    </row>
    <row r="188" spans="1:10" x14ac:dyDescent="0.25">
      <c r="A188" s="19" t="s">
        <v>150</v>
      </c>
      <c r="C188" s="2"/>
      <c r="D188" s="3"/>
      <c r="F188" s="17"/>
      <c r="H188" s="86">
        <f>'[1]Credit Support'!C15</f>
        <v>6836533.7699999996</v>
      </c>
      <c r="J188" s="17"/>
    </row>
    <row r="189" spans="1:10" x14ac:dyDescent="0.25">
      <c r="A189" s="19" t="s">
        <v>151</v>
      </c>
      <c r="C189" s="2"/>
      <c r="D189" s="3"/>
      <c r="F189" s="17"/>
      <c r="H189" s="86">
        <f>H187-H188</f>
        <v>5988027.2300000004</v>
      </c>
      <c r="J189" s="17"/>
    </row>
    <row r="190" spans="1:10" x14ac:dyDescent="0.25">
      <c r="A190" s="7"/>
      <c r="C190" s="2"/>
      <c r="D190" s="3"/>
    </row>
    <row r="191" spans="1:10" x14ac:dyDescent="0.25">
      <c r="A191" s="7" t="s">
        <v>152</v>
      </c>
      <c r="C191" s="2"/>
      <c r="D191" s="3"/>
      <c r="G191" s="17"/>
    </row>
    <row r="192" spans="1:10" x14ac:dyDescent="0.25">
      <c r="A192" s="7"/>
      <c r="C192" s="2"/>
      <c r="D192" s="3"/>
    </row>
    <row r="193" spans="1:10" x14ac:dyDescent="0.25">
      <c r="A193" s="19" t="s">
        <v>153</v>
      </c>
      <c r="C193" s="2"/>
      <c r="D193" s="3"/>
      <c r="H193" s="91">
        <f>VLOOKUP("POOL_WAM",'[1]Current Data'!B:F,3,FALSE)</f>
        <v>17.07</v>
      </c>
      <c r="J193"/>
    </row>
    <row r="194" spans="1:10" ht="18" x14ac:dyDescent="0.25">
      <c r="A194" s="7" t="s">
        <v>154</v>
      </c>
      <c r="C194" s="2"/>
      <c r="D194" s="3"/>
      <c r="H194" s="92">
        <f>[1]Prepayment!$F$3</f>
        <v>0.95330512019301406</v>
      </c>
      <c r="I194" s="93"/>
      <c r="J194"/>
    </row>
    <row r="195" spans="1:10" ht="18" x14ac:dyDescent="0.25">
      <c r="A195" s="7" t="s">
        <v>155</v>
      </c>
      <c r="C195" s="2"/>
      <c r="D195" s="3"/>
      <c r="H195" s="92">
        <f>[1]Prepayment!$F$4</f>
        <v>0.97340541411486758</v>
      </c>
      <c r="I195" s="93"/>
      <c r="J195"/>
    </row>
    <row r="196" spans="1:10" x14ac:dyDescent="0.25">
      <c r="A196" s="7"/>
      <c r="C196" s="2"/>
      <c r="D196" s="3"/>
      <c r="H196" s="94"/>
    </row>
    <row r="197" spans="1:10" x14ac:dyDescent="0.25">
      <c r="A197" s="7"/>
      <c r="C197" s="2"/>
      <c r="D197" s="3"/>
      <c r="G197" s="12" t="s">
        <v>156</v>
      </c>
      <c r="H197" s="12" t="s">
        <v>157</v>
      </c>
    </row>
    <row r="198" spans="1:10" x14ac:dyDescent="0.25">
      <c r="A198" s="19" t="s">
        <v>158</v>
      </c>
      <c r="C198" s="2"/>
      <c r="D198" s="3"/>
      <c r="E198" s="17"/>
      <c r="G198" s="91">
        <f>[1]Collateral!D34</f>
        <v>1869958.31</v>
      </c>
    </row>
    <row r="199" spans="1:10" x14ac:dyDescent="0.25">
      <c r="A199" s="19" t="s">
        <v>159</v>
      </c>
      <c r="C199" s="2"/>
      <c r="D199" s="3"/>
      <c r="E199" s="17"/>
      <c r="G199" s="86">
        <f>[1]Collateral!C34</f>
        <v>1551557.19</v>
      </c>
      <c r="H199" s="95">
        <f>[1]Collateral!F34</f>
        <v>75</v>
      </c>
    </row>
    <row r="200" spans="1:10" x14ac:dyDescent="0.25">
      <c r="A200" s="19" t="s">
        <v>160</v>
      </c>
      <c r="C200" s="2"/>
      <c r="D200" s="3"/>
      <c r="E200" s="17"/>
      <c r="G200" s="86">
        <f>[1]Collateral!E34</f>
        <v>318401.12000000011</v>
      </c>
    </row>
    <row r="201" spans="1:10" x14ac:dyDescent="0.25">
      <c r="A201" s="19" t="s">
        <v>161</v>
      </c>
      <c r="C201" s="2"/>
      <c r="D201" s="3"/>
      <c r="E201" s="17"/>
      <c r="G201" s="86">
        <f>G71</f>
        <v>1046352274.8200001</v>
      </c>
    </row>
    <row r="202" spans="1:10" x14ac:dyDescent="0.25">
      <c r="A202" s="19" t="s">
        <v>162</v>
      </c>
      <c r="C202" s="2"/>
      <c r="D202" s="3"/>
      <c r="E202" s="17"/>
      <c r="G202" s="96"/>
    </row>
    <row r="203" spans="1:10" x14ac:dyDescent="0.25">
      <c r="A203" s="19" t="s">
        <v>163</v>
      </c>
      <c r="C203" s="2"/>
      <c r="D203" s="3"/>
      <c r="E203" s="17"/>
      <c r="G203" s="96">
        <f>G200/G201</f>
        <v>3.0429629452927165E-4</v>
      </c>
    </row>
    <row r="204" spans="1:10" x14ac:dyDescent="0.25">
      <c r="A204" s="19" t="s">
        <v>164</v>
      </c>
      <c r="C204" s="2"/>
      <c r="D204" s="3"/>
      <c r="E204" s="17"/>
      <c r="G204" s="97">
        <f>[1]Collateral!B44</f>
        <v>6.6505480000000005E-4</v>
      </c>
    </row>
    <row r="205" spans="1:10" x14ac:dyDescent="0.25">
      <c r="A205" s="19" t="s">
        <v>165</v>
      </c>
      <c r="C205" s="2"/>
      <c r="D205" s="3"/>
      <c r="E205" s="17"/>
      <c r="G205" s="97">
        <f>[1]Collateral!B45</f>
        <v>2.080444E-4</v>
      </c>
    </row>
    <row r="206" spans="1:10" x14ac:dyDescent="0.25">
      <c r="A206" s="19" t="s">
        <v>166</v>
      </c>
      <c r="C206" s="2"/>
      <c r="D206" s="3"/>
      <c r="E206" s="17"/>
      <c r="G206" s="97">
        <f>[1]Collateral!B46</f>
        <v>4.4707759999999998E-4</v>
      </c>
    </row>
    <row r="207" spans="1:10" x14ac:dyDescent="0.25">
      <c r="A207" s="19"/>
      <c r="C207" s="2"/>
      <c r="D207" s="3"/>
      <c r="E207" s="17"/>
      <c r="G207" s="96"/>
    </row>
    <row r="208" spans="1:10" x14ac:dyDescent="0.25">
      <c r="A208" s="7" t="s">
        <v>167</v>
      </c>
      <c r="C208" s="2"/>
      <c r="D208" s="3"/>
      <c r="E208" s="17"/>
      <c r="G208" s="96">
        <f>H208/C10</f>
        <v>-2.4534864568036938E-3</v>
      </c>
      <c r="H208" s="68">
        <f>[1]Collateral!E35</f>
        <v>-2938308.74</v>
      </c>
      <c r="I208" s="17"/>
      <c r="J208" s="17"/>
    </row>
    <row r="209" spans="1:8" x14ac:dyDescent="0.25">
      <c r="A209" s="19"/>
      <c r="C209" s="2"/>
      <c r="D209" s="3"/>
    </row>
    <row r="210" spans="1:8" x14ac:dyDescent="0.25">
      <c r="A210" s="19" t="s">
        <v>168</v>
      </c>
      <c r="C210" s="2"/>
      <c r="D210" s="3"/>
      <c r="F210" s="7" t="s">
        <v>169</v>
      </c>
      <c r="G210" s="98" t="s">
        <v>170</v>
      </c>
      <c r="H210" s="98" t="s">
        <v>62</v>
      </c>
    </row>
    <row r="211" spans="1:8" x14ac:dyDescent="0.25">
      <c r="A211" s="30" t="s">
        <v>171</v>
      </c>
      <c r="C211" s="2"/>
      <c r="D211" s="3"/>
      <c r="F211" s="99">
        <f>[1]Collateral!D12</f>
        <v>3.0158608395464662E-3</v>
      </c>
      <c r="G211" s="91">
        <f>[1]Collateral!B12</f>
        <v>3155652.85</v>
      </c>
      <c r="H211" s="100">
        <f>[1]Collateral!C12</f>
        <v>148</v>
      </c>
    </row>
    <row r="212" spans="1:8" x14ac:dyDescent="0.25">
      <c r="A212" s="30" t="s">
        <v>172</v>
      </c>
      <c r="C212" s="2"/>
      <c r="D212" s="3"/>
      <c r="F212" s="99">
        <f>[1]Collateral!D13</f>
        <v>6.9382704799384018E-4</v>
      </c>
      <c r="G212" s="91">
        <f>[1]Collateral!B13</f>
        <v>725987.51</v>
      </c>
      <c r="H212" s="100">
        <f>[1]Collateral!C13</f>
        <v>34</v>
      </c>
    </row>
    <row r="213" spans="1:8" x14ac:dyDescent="0.25">
      <c r="A213" s="30" t="s">
        <v>173</v>
      </c>
      <c r="C213" s="2"/>
      <c r="D213" s="3"/>
      <c r="F213" s="99">
        <f>[1]Collateral!D14</f>
        <v>3.104795562812594E-4</v>
      </c>
      <c r="G213" s="91">
        <f>[1]Collateral!B14</f>
        <v>324870.99</v>
      </c>
      <c r="H213" s="100">
        <f>[1]Collateral!C14</f>
        <v>13</v>
      </c>
    </row>
    <row r="214" spans="1:8" x14ac:dyDescent="0.25">
      <c r="A214" s="30" t="s">
        <v>174</v>
      </c>
      <c r="C214" s="2"/>
      <c r="D214" s="3"/>
      <c r="F214" s="99">
        <f>[1]Collateral!D15</f>
        <v>6.4932596444813821E-5</v>
      </c>
      <c r="G214" s="101">
        <f>[1]Collateral!B15</f>
        <v>67942.37</v>
      </c>
      <c r="H214" s="102">
        <f>[1]Collateral!C15</f>
        <v>3</v>
      </c>
    </row>
    <row r="215" spans="1:8" x14ac:dyDescent="0.25">
      <c r="A215" s="19" t="s">
        <v>175</v>
      </c>
      <c r="C215" s="2"/>
      <c r="D215" s="3"/>
      <c r="F215" s="99">
        <f>[1]Collateral!D17</f>
        <v>4.0201674438215661E-3</v>
      </c>
      <c r="G215" s="54">
        <f>SUM(G211:G214)</f>
        <v>4274453.7200000007</v>
      </c>
      <c r="H215" s="103">
        <f>SUM(H211:H214)</f>
        <v>198</v>
      </c>
    </row>
    <row r="216" spans="1:8" x14ac:dyDescent="0.25">
      <c r="A216" s="19"/>
      <c r="C216" s="2"/>
      <c r="D216" s="3"/>
      <c r="G216" s="54"/>
      <c r="H216" s="7"/>
    </row>
    <row r="217" spans="1:8" x14ac:dyDescent="0.25">
      <c r="A217" s="19" t="s">
        <v>176</v>
      </c>
      <c r="C217" s="2"/>
      <c r="D217" s="3"/>
      <c r="G217" s="104" t="s">
        <v>170</v>
      </c>
      <c r="H217" s="104" t="s">
        <v>62</v>
      </c>
    </row>
    <row r="218" spans="1:8" x14ac:dyDescent="0.25">
      <c r="A218" s="19" t="s">
        <v>163</v>
      </c>
      <c r="C218" s="2"/>
      <c r="D218" s="3"/>
      <c r="G218" s="105">
        <f>SUM(G212:G214)/G71</f>
        <v>1.0692392007199134E-3</v>
      </c>
      <c r="H218" s="106">
        <f>SUM(H212:H214)/D71</f>
        <v>9.8669929352330587E-4</v>
      </c>
    </row>
    <row r="219" spans="1:8" x14ac:dyDescent="0.25">
      <c r="A219" s="19" t="s">
        <v>164</v>
      </c>
      <c r="C219" s="2"/>
      <c r="D219" s="3"/>
      <c r="G219" s="105">
        <f>[1]Collateral!B21</f>
        <v>1.0897268999999999E-3</v>
      </c>
      <c r="H219" s="105">
        <f>[1]Collateral!C21</f>
        <v>1.0127765999999999E-3</v>
      </c>
    </row>
    <row r="220" spans="1:8" x14ac:dyDescent="0.25">
      <c r="A220" s="19" t="s">
        <v>165</v>
      </c>
      <c r="C220" s="2"/>
      <c r="D220" s="3"/>
      <c r="G220" s="105">
        <f>[1]Collateral!B20</f>
        <v>8.7805990000000003E-4</v>
      </c>
      <c r="H220" s="105">
        <f>[1]Collateral!C20</f>
        <v>8.2802180000000002E-4</v>
      </c>
    </row>
    <row r="221" spans="1:8" x14ac:dyDescent="0.25">
      <c r="A221" s="19" t="s">
        <v>166</v>
      </c>
      <c r="C221" s="2"/>
      <c r="D221" s="3"/>
      <c r="G221" s="105">
        <f>[1]Collateral!B19</f>
        <v>9.2817330000000001E-4</v>
      </c>
      <c r="H221" s="105">
        <f>[1]Collateral!C19</f>
        <v>9.334934E-4</v>
      </c>
    </row>
    <row r="222" spans="1:8" x14ac:dyDescent="0.25">
      <c r="A222" s="19"/>
      <c r="C222" s="2"/>
      <c r="D222" s="3"/>
      <c r="G222" s="107"/>
      <c r="H222" s="105"/>
    </row>
    <row r="223" spans="1:8" x14ac:dyDescent="0.25">
      <c r="A223" s="108" t="s">
        <v>177</v>
      </c>
      <c r="C223" s="2"/>
      <c r="D223" s="3"/>
      <c r="G223" s="109">
        <f>[1]Collateral!B26</f>
        <v>1301178.6100000001</v>
      </c>
      <c r="H223" s="105"/>
    </row>
    <row r="224" spans="1:8" x14ac:dyDescent="0.25">
      <c r="A224" s="108" t="s">
        <v>178</v>
      </c>
      <c r="C224" s="2"/>
      <c r="D224" s="3"/>
      <c r="G224" s="107">
        <f>[1]Collateral!D27</f>
        <v>1.2435378039617076E-3</v>
      </c>
      <c r="H224" s="105"/>
    </row>
    <row r="225" spans="1:10" x14ac:dyDescent="0.25">
      <c r="A225" s="108" t="s">
        <v>179</v>
      </c>
      <c r="C225" s="2"/>
      <c r="D225" s="3"/>
      <c r="G225" s="107">
        <f>[1]Collateral!D28</f>
        <v>4.3999999999999997E-2</v>
      </c>
      <c r="H225" s="105"/>
    </row>
    <row r="226" spans="1:10" x14ac:dyDescent="0.25">
      <c r="A226" s="108" t="s">
        <v>180</v>
      </c>
      <c r="C226" s="2"/>
      <c r="D226" s="3"/>
      <c r="G226" s="110" t="str">
        <f>IF(G224&lt;G225, "No", "Yes")</f>
        <v>No</v>
      </c>
      <c r="H226" s="105"/>
    </row>
    <row r="227" spans="1:10" x14ac:dyDescent="0.25">
      <c r="A227" s="19"/>
      <c r="C227" s="2"/>
      <c r="D227" s="3"/>
      <c r="G227" s="105"/>
      <c r="I227" s="17"/>
    </row>
    <row r="228" spans="1:10" x14ac:dyDescent="0.25">
      <c r="A228" s="7" t="s">
        <v>181</v>
      </c>
      <c r="C228" s="2"/>
      <c r="D228" s="3"/>
      <c r="G228" s="12" t="s">
        <v>156</v>
      </c>
      <c r="H228" s="12" t="s">
        <v>157</v>
      </c>
    </row>
    <row r="229" spans="1:10" x14ac:dyDescent="0.25">
      <c r="A229" s="7" t="s">
        <v>182</v>
      </c>
      <c r="C229" s="2"/>
      <c r="D229" s="3"/>
      <c r="E229" s="17"/>
      <c r="G229" s="91">
        <f>[1]Collateral!D39</f>
        <v>593094</v>
      </c>
      <c r="H229" s="100">
        <f>[1]Collateral!F39</f>
        <v>20</v>
      </c>
    </row>
    <row r="230" spans="1:10" x14ac:dyDescent="0.25">
      <c r="A230" s="7" t="s">
        <v>183</v>
      </c>
      <c r="C230" s="2"/>
      <c r="D230" s="3"/>
      <c r="E230" s="17"/>
      <c r="G230" s="101">
        <f>[1]Collateral!C39</f>
        <v>501425.67</v>
      </c>
      <c r="H230" s="100">
        <f>[1]Collateral!F39</f>
        <v>20</v>
      </c>
    </row>
    <row r="231" spans="1:10" x14ac:dyDescent="0.25">
      <c r="A231" s="7" t="s">
        <v>184</v>
      </c>
      <c r="C231" s="2"/>
      <c r="D231" s="3"/>
      <c r="E231" s="17"/>
      <c r="G231" s="86">
        <f>G229-G230</f>
        <v>91668.330000000016</v>
      </c>
      <c r="H231" s="54"/>
    </row>
    <row r="232" spans="1:10" x14ac:dyDescent="0.25">
      <c r="A232" s="7"/>
      <c r="C232" s="2"/>
      <c r="D232" s="3"/>
      <c r="G232" s="111"/>
    </row>
    <row r="233" spans="1:10" x14ac:dyDescent="0.25">
      <c r="A233" s="7" t="s">
        <v>185</v>
      </c>
      <c r="C233" s="2"/>
      <c r="D233" s="3"/>
      <c r="F233" s="17"/>
      <c r="G233" s="98" t="s">
        <v>156</v>
      </c>
      <c r="H233" s="12" t="s">
        <v>157</v>
      </c>
    </row>
    <row r="234" spans="1:10" x14ac:dyDescent="0.25">
      <c r="A234" s="7" t="s">
        <v>186</v>
      </c>
      <c r="C234" s="2"/>
      <c r="D234" s="3"/>
      <c r="E234" s="17"/>
      <c r="G234" s="68">
        <f>[1]Collateral!E38+[1]Collateral!D39</f>
        <v>1888077</v>
      </c>
      <c r="H234" s="112">
        <f>[1]Collateral!F40</f>
        <v>65</v>
      </c>
      <c r="I234" s="17" t="s">
        <v>51</v>
      </c>
    </row>
    <row r="235" spans="1:10" x14ac:dyDescent="0.25">
      <c r="A235" s="7" t="s">
        <v>187</v>
      </c>
      <c r="C235" s="2"/>
      <c r="D235" s="3"/>
      <c r="E235" s="17"/>
      <c r="F235" s="17"/>
      <c r="G235" s="68">
        <f>[1]Collateral!C40</f>
        <v>1624281.38</v>
      </c>
      <c r="H235" s="61">
        <f>[1]Collateral!F40</f>
        <v>65</v>
      </c>
      <c r="I235" s="17" t="s">
        <v>51</v>
      </c>
    </row>
    <row r="236" spans="1:10" ht="15.75" thickBot="1" x14ac:dyDescent="0.3">
      <c r="A236" s="7" t="s">
        <v>188</v>
      </c>
      <c r="C236" s="2"/>
      <c r="D236" s="3"/>
      <c r="E236" s="17"/>
      <c r="G236" s="113">
        <f>[1]Collateral!E40</f>
        <v>263795.62000000011</v>
      </c>
    </row>
    <row r="237" spans="1:10" ht="15.75" thickTop="1" x14ac:dyDescent="0.25">
      <c r="A237" s="7"/>
      <c r="C237" s="2"/>
      <c r="D237" s="3"/>
      <c r="E237" s="17"/>
      <c r="G237" s="86"/>
    </row>
    <row r="238" spans="1:10" x14ac:dyDescent="0.25">
      <c r="A238" s="7" t="s">
        <v>189</v>
      </c>
      <c r="C238" s="2"/>
      <c r="D238" s="3"/>
      <c r="G238" s="1" t="s">
        <v>51</v>
      </c>
    </row>
    <row r="239" spans="1:10" x14ac:dyDescent="0.25">
      <c r="A239" s="7"/>
      <c r="C239" s="2"/>
      <c r="D239" s="3"/>
    </row>
    <row r="240" spans="1:10" x14ac:dyDescent="0.25">
      <c r="A240" s="7" t="s">
        <v>190</v>
      </c>
      <c r="C240" s="2"/>
      <c r="D240" s="3"/>
      <c r="H240" s="68">
        <f>'[1]Credit Support'!G12</f>
        <v>410743.86</v>
      </c>
      <c r="I240" s="114"/>
      <c r="J240" s="41"/>
    </row>
    <row r="241" spans="1:10" x14ac:dyDescent="0.25">
      <c r="A241" s="7" t="s">
        <v>191</v>
      </c>
      <c r="C241" s="2"/>
      <c r="D241" s="3"/>
      <c r="H241" s="86">
        <f>-'[1]Credit Support'!G13</f>
        <v>361502.6</v>
      </c>
      <c r="I241" s="17"/>
      <c r="J241" s="41"/>
    </row>
    <row r="242" spans="1:10" x14ac:dyDescent="0.25">
      <c r="A242" s="7" t="s">
        <v>192</v>
      </c>
      <c r="C242" s="2"/>
      <c r="D242" s="3"/>
      <c r="H242" s="85">
        <f>+'[1]Credit Support'!G14</f>
        <v>320416.5</v>
      </c>
      <c r="J242" s="41"/>
    </row>
    <row r="243" spans="1:10" ht="15.75" thickBot="1" x14ac:dyDescent="0.3">
      <c r="A243" s="7" t="s">
        <v>193</v>
      </c>
      <c r="C243" s="2"/>
      <c r="D243" s="3"/>
      <c r="H243" s="113">
        <f>+'[1]Credit Support'!G15</f>
        <v>369657.76</v>
      </c>
      <c r="I243" s="86"/>
      <c r="J243" s="41"/>
    </row>
    <row r="244" spans="1:10" ht="15.75" thickTop="1" x14ac:dyDescent="0.25">
      <c r="A244" s="7"/>
      <c r="C244" s="2"/>
      <c r="D244" s="3"/>
      <c r="J244" s="41"/>
    </row>
    <row r="245" spans="1:10" x14ac:dyDescent="0.25">
      <c r="A245" s="7" t="s">
        <v>194</v>
      </c>
      <c r="C245" s="2"/>
      <c r="D245" s="3"/>
      <c r="H245" s="68">
        <f>'[1]Credit Support'!G6</f>
        <v>1169922.69</v>
      </c>
      <c r="I245" s="115"/>
      <c r="J245" s="41"/>
    </row>
    <row r="246" spans="1:10" x14ac:dyDescent="0.25">
      <c r="A246" s="7" t="s">
        <v>195</v>
      </c>
      <c r="C246" s="2"/>
      <c r="D246" s="3"/>
      <c r="H246" s="86">
        <f>-'[1]Credit Support'!G7</f>
        <v>411121.61</v>
      </c>
      <c r="I246" s="17"/>
      <c r="J246" s="41"/>
    </row>
    <row r="247" spans="1:10" x14ac:dyDescent="0.25">
      <c r="A247" s="7" t="s">
        <v>196</v>
      </c>
      <c r="C247" s="2"/>
      <c r="D247" s="3"/>
      <c r="H247" s="86">
        <f>+'[1]Credit Support'!G8</f>
        <v>634372.41</v>
      </c>
      <c r="I247" s="115"/>
      <c r="J247" s="41"/>
    </row>
    <row r="248" spans="1:10" ht="15.75" thickBot="1" x14ac:dyDescent="0.3">
      <c r="A248" s="7" t="s">
        <v>197</v>
      </c>
      <c r="C248" s="2"/>
      <c r="D248" s="3"/>
      <c r="H248" s="113">
        <f>+'[1]Credit Support'!G9</f>
        <v>1393173.49</v>
      </c>
      <c r="I248" s="17"/>
      <c r="J248" s="41"/>
    </row>
    <row r="249" spans="1:10" ht="15.75" thickTop="1" x14ac:dyDescent="0.25">
      <c r="A249" s="7"/>
    </row>
    <row r="250" spans="1:10" x14ac:dyDescent="0.25">
      <c r="A250" s="7" t="s">
        <v>198</v>
      </c>
      <c r="F250" s="116"/>
      <c r="I250" s="17"/>
    </row>
    <row r="251" spans="1:10" x14ac:dyDescent="0.25">
      <c r="A251" s="7"/>
      <c r="F251" s="116"/>
    </row>
    <row r="252" spans="1:10" x14ac:dyDescent="0.25">
      <c r="A252" s="19" t="s">
        <v>199</v>
      </c>
      <c r="F252" s="116"/>
    </row>
    <row r="253" spans="1:10" x14ac:dyDescent="0.25">
      <c r="A253" s="19" t="s">
        <v>200</v>
      </c>
      <c r="F253" s="116"/>
    </row>
    <row r="254" spans="1:10" x14ac:dyDescent="0.25">
      <c r="A254" s="19" t="s">
        <v>201</v>
      </c>
      <c r="E254" s="28"/>
      <c r="F254" s="116"/>
    </row>
    <row r="255" spans="1:10" x14ac:dyDescent="0.25">
      <c r="A255" s="19" t="s">
        <v>202</v>
      </c>
      <c r="E255" s="28" t="s">
        <v>51</v>
      </c>
      <c r="F255" s="116"/>
      <c r="H255" s="117" t="str">
        <f>VLOOKUP("STMNT_TO_NOTEHLD_1",'[1]Current Data'!B:G,2,FALSE)</f>
        <v>NO</v>
      </c>
    </row>
    <row r="257" spans="1:8" x14ac:dyDescent="0.25">
      <c r="A257" s="19" t="s">
        <v>203</v>
      </c>
      <c r="F257" s="116"/>
      <c r="H257" s="7"/>
    </row>
    <row r="258" spans="1:8" x14ac:dyDescent="0.25">
      <c r="A258" s="19" t="s">
        <v>204</v>
      </c>
      <c r="E258" s="28" t="s">
        <v>51</v>
      </c>
      <c r="F258" s="116"/>
      <c r="H258" s="117" t="str">
        <f>VLOOKUP("STMNT_TO_NOTEHLD_2",'[1]Current Data'!B:G,2,FALSE)</f>
        <v>NO</v>
      </c>
    </row>
    <row r="259" spans="1:8" x14ac:dyDescent="0.25">
      <c r="A259" s="19"/>
      <c r="F259" s="116"/>
      <c r="H259" s="7"/>
    </row>
    <row r="260" spans="1:8" x14ac:dyDescent="0.25">
      <c r="A260" s="19" t="s">
        <v>205</v>
      </c>
      <c r="F260" s="116"/>
      <c r="H260" s="7"/>
    </row>
    <row r="261" spans="1:8" x14ac:dyDescent="0.25">
      <c r="A261" s="19" t="s">
        <v>206</v>
      </c>
      <c r="E261" s="28" t="s">
        <v>51</v>
      </c>
      <c r="F261" s="116"/>
      <c r="H261" s="117" t="str">
        <f>VLOOKUP("STMNT_TO_NOTEHLD_3",'[1]Current Data'!B:G,2,FALSE)</f>
        <v>NO</v>
      </c>
    </row>
    <row r="262" spans="1:8" x14ac:dyDescent="0.25">
      <c r="A262" s="19"/>
      <c r="F262" s="116"/>
      <c r="H262" s="7"/>
    </row>
    <row r="263" spans="1:8" x14ac:dyDescent="0.25">
      <c r="A263" s="19" t="s">
        <v>207</v>
      </c>
      <c r="F263" s="116"/>
      <c r="H263" s="7"/>
    </row>
    <row r="264" spans="1:8" x14ac:dyDescent="0.25">
      <c r="A264" s="19" t="s">
        <v>208</v>
      </c>
      <c r="E264" s="28" t="s">
        <v>51</v>
      </c>
      <c r="F264" s="116"/>
      <c r="H264" s="117" t="str">
        <f>VLOOKUP("STMNT_TO_NOTEHLD_4",'[1]Current Data'!B:G,2,FALSE)</f>
        <v>NO</v>
      </c>
    </row>
    <row r="265" spans="1:8" x14ac:dyDescent="0.25">
      <c r="A265" s="19"/>
      <c r="E265" s="28"/>
      <c r="F265" s="116"/>
      <c r="H265" s="117"/>
    </row>
    <row r="266" spans="1:8" x14ac:dyDescent="0.25">
      <c r="A266" s="19" t="s">
        <v>209</v>
      </c>
      <c r="E266" s="28"/>
      <c r="F266" s="116"/>
      <c r="H266" s="117"/>
    </row>
    <row r="267" spans="1:8" x14ac:dyDescent="0.25">
      <c r="A267" s="19" t="s">
        <v>210</v>
      </c>
      <c r="E267" s="28" t="s">
        <v>51</v>
      </c>
      <c r="F267" s="116"/>
      <c r="H267" s="117" t="str">
        <f>VLOOKUP("STMNT_TO_NOTEHLD_5",'[1]Current Data'!B:G,2,FALSE)</f>
        <v>NO</v>
      </c>
    </row>
    <row r="268" spans="1:8" x14ac:dyDescent="0.25">
      <c r="A268" s="19"/>
      <c r="E268" s="28"/>
      <c r="F268" s="116"/>
      <c r="H268" s="117"/>
    </row>
    <row r="269" spans="1:8" x14ac:dyDescent="0.25">
      <c r="A269" s="19" t="s">
        <v>211</v>
      </c>
      <c r="F269" s="116"/>
      <c r="H269" s="7"/>
    </row>
    <row r="270" spans="1:8" x14ac:dyDescent="0.25">
      <c r="A270" s="19" t="s">
        <v>212</v>
      </c>
      <c r="E270" s="28" t="s">
        <v>51</v>
      </c>
      <c r="F270" s="116"/>
      <c r="H270" s="117" t="str">
        <f>VLOOKUP("STMNT_TO_NOTEHLD_6",'[1]Current Data'!B:G,2,FALSE)</f>
        <v>NO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2021-A
Servicer Report
</oddHeader>
  </headerFooter>
  <rowBreaks count="2" manualBreakCount="2">
    <brk id="99" max="16383" man="1"/>
    <brk id="1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Dec22</vt:lpstr>
      <vt:lpstr>Nov22</vt:lpstr>
      <vt:lpstr>Oct22</vt:lpstr>
      <vt:lpstr>Sep22</vt:lpstr>
      <vt:lpstr>Aug22</vt:lpstr>
      <vt:lpstr>Jul22</vt:lpstr>
      <vt:lpstr>Jun22</vt:lpstr>
      <vt:lpstr>May22</vt:lpstr>
      <vt:lpstr>Apr22</vt:lpstr>
      <vt:lpstr>Mar22</vt:lpstr>
      <vt:lpstr>Feb22</vt:lpstr>
      <vt:lpstr>Jan22</vt:lpstr>
      <vt:lpstr>'Apr22'!Print_Area</vt:lpstr>
      <vt:lpstr>'Aug22'!Print_Area</vt:lpstr>
      <vt:lpstr>'Dec22'!Print_Area</vt:lpstr>
      <vt:lpstr>'Feb22'!Print_Area</vt:lpstr>
      <vt:lpstr>'Jan22'!Print_Area</vt:lpstr>
      <vt:lpstr>'Jul22'!Print_Area</vt:lpstr>
      <vt:lpstr>'Jun22'!Print_Area</vt:lpstr>
      <vt:lpstr>'Mar22'!Print_Area</vt:lpstr>
      <vt:lpstr>'May22'!Print_Area</vt:lpstr>
      <vt:lpstr>'Nov22'!Print_Area</vt:lpstr>
      <vt:lpstr>'Oct22'!Print_Area</vt:lpstr>
      <vt:lpstr>'Sep22'!Print_Area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keywords>Nissan;N-I;Nissan Internal</cp:keywords>
  <cp:lastModifiedBy>Hales, Malori</cp:lastModifiedBy>
  <dcterms:created xsi:type="dcterms:W3CDTF">2022-02-10T03:44:26Z</dcterms:created>
  <dcterms:modified xsi:type="dcterms:W3CDTF">2023-05-30T19:12:28Z</dcterms:modified>
  <cp:category>N-I</cp:category>
</cp:coreProperties>
</file>