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[11]Notes!$C$4</definedName>
    <definedName name="A1_BegBal" localSheetId="2">[10]Notes!$C$4</definedName>
    <definedName name="A1_BegBal" localSheetId="3">[8]Notes!$C$4</definedName>
    <definedName name="A1_BegBal">[9]Notes!$C$4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[11]Notes!$P$4</definedName>
    <definedName name="A1_EndBal" localSheetId="2">[10]Notes!$P$4</definedName>
    <definedName name="A1_EndBal" localSheetId="3">[8]Notes!$P$4</definedName>
    <definedName name="A1_EndBal">[9]Notes!$P$4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[11]Notes!$C$23</definedName>
    <definedName name="A1_FinalDist" localSheetId="2">[10]Notes!$C$23</definedName>
    <definedName name="A1_FinalDist" localSheetId="3">[8]Notes!$C$23</definedName>
    <definedName name="A1_FinalDist">[9]Notes!$C$23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[11]Notes!$C$24</definedName>
    <definedName name="A2_FinalDist" localSheetId="2">[10]Notes!$C$24</definedName>
    <definedName name="A2_FinalDist" localSheetId="3">[8]Notes!$C$24</definedName>
    <definedName name="A2_FinalDist">[9]Notes!$C$24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[11]Notes!$C$5</definedName>
    <definedName name="A2a_BegBal" localSheetId="2">[10]Notes!$C$5</definedName>
    <definedName name="A2a_BegBal" localSheetId="3">[8]Notes!$C$5</definedName>
    <definedName name="A2a_BegBal">[9]Notes!$C$5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[11]Notes!$P$5</definedName>
    <definedName name="A2a_EndBal" localSheetId="2">[10]Notes!$P$5</definedName>
    <definedName name="A2a_EndBal" localSheetId="3">[8]Notes!$P$5</definedName>
    <definedName name="A2a_EndBal">[9]Notes!$P$5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[11]Notes!$C$6</definedName>
    <definedName name="A2b_BegBal" localSheetId="2">[10]Notes!$C$6</definedName>
    <definedName name="A2b_BegBal" localSheetId="3">[8]Notes!$C$6</definedName>
    <definedName name="A2b_BegBal">[9]Notes!$C$6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[11]Notes!$P$6</definedName>
    <definedName name="A2b_EndBal" localSheetId="2">[10]Notes!$P$6</definedName>
    <definedName name="A2b_EndBal" localSheetId="3">[8]Notes!$P$6</definedName>
    <definedName name="A2b_EndBal">[9]Notes!$P$6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[11]Notes!$C$7</definedName>
    <definedName name="A3_BegBal" localSheetId="2">[10]Notes!$C$7</definedName>
    <definedName name="A3_BegBal" localSheetId="3">[8]Notes!$C$7</definedName>
    <definedName name="A3_BegBal">[9]Notes!$C$7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[11]Notes!$P$7</definedName>
    <definedName name="A3_EndBal" localSheetId="2">[10]Notes!$P$7</definedName>
    <definedName name="A3_EndBal" localSheetId="3">[8]Notes!$P$7</definedName>
    <definedName name="A3_EndBal">[9]Notes!$P$7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[11]Notes!$C$26</definedName>
    <definedName name="A3_FinalDist" localSheetId="2">[10]Notes!$C$26</definedName>
    <definedName name="A3_FinalDist" localSheetId="3">[8]Notes!$C$26</definedName>
    <definedName name="A3_FinalDist">[9]Notes!$C$26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[11]Notes!#REF!</definedName>
    <definedName name="A3B_BegBal" localSheetId="2">[10]Notes!#REF!</definedName>
    <definedName name="A3B_BegBal" localSheetId="3">[8]Notes!#REF!</definedName>
    <definedName name="A3B_BegBal">[9]Notes!#REF!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[11]Notes!#REF!</definedName>
    <definedName name="A3B_EndBal" localSheetId="2">[10]Notes!#REF!</definedName>
    <definedName name="A3B_EndBal" localSheetId="3">[8]Notes!#REF!</definedName>
    <definedName name="A3B_EndBal">[9]Notes!#REF!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[11]Notes!#REF!</definedName>
    <definedName name="A3B_FinalDist" localSheetId="2">[10]Notes!#REF!</definedName>
    <definedName name="A3B_FinalDist" localSheetId="3">[8]Notes!#REF!</definedName>
    <definedName name="A3B_FinalDist">[9]Notes!#REF!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[11]Notes!$C$8</definedName>
    <definedName name="A4_BegBal" localSheetId="2">[10]Notes!$C$8</definedName>
    <definedName name="A4_BegBal" localSheetId="3">[8]Notes!$C$8</definedName>
    <definedName name="A4_BegBal">[9]Notes!$C$8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[11]Notes!$P$8</definedName>
    <definedName name="A4_EndBal" localSheetId="2">[10]Notes!$P$8</definedName>
    <definedName name="A4_EndBal" localSheetId="3">[8]Notes!$P$8</definedName>
    <definedName name="A4_EndBal">[9]Notes!$P$8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[11]Notes!$C$27</definedName>
    <definedName name="A4_FinalDist" localSheetId="2">[10]Notes!$C$27</definedName>
    <definedName name="A4_FinalDist" localSheetId="3">[8]Notes!$C$27</definedName>
    <definedName name="A4_FinalDist">[9]Notes!$C$27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[11]Collateral!$B$8</definedName>
    <definedName name="Adj_BegBal" localSheetId="2">[10]Collateral!$B$8</definedName>
    <definedName name="Adj_BegBal" localSheetId="3">[8]Collateral!$B$8</definedName>
    <definedName name="Adj_BegBal">[9]Collateral!$B$8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[11]Collateral!$B$9</definedName>
    <definedName name="Adj_EndBal" localSheetId="2">[10]Collateral!$B$9</definedName>
    <definedName name="Adj_EndBal" localSheetId="3">[8]Collateral!$B$9</definedName>
    <definedName name="Adj_EndBal">[9]Collateral!$B$9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[11]Waterfall!$C$7</definedName>
    <definedName name="Avail_Amt" localSheetId="2">[10]Waterfall!$C$7</definedName>
    <definedName name="Avail_Amt" localSheetId="3">[8]Waterfall!$C$7</definedName>
    <definedName name="Avail_Amt">[9]Waterfall!$C$7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[11]Notes!$C$9</definedName>
    <definedName name="Cert_BegBal" localSheetId="2">[10]Notes!$C$9</definedName>
    <definedName name="Cert_BegBal" localSheetId="3">[8]Notes!$C$9</definedName>
    <definedName name="Cert_BegBal">[9]Notes!$C$9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[11]Notes!$P$9</definedName>
    <definedName name="Cert_EndBal" localSheetId="2">[10]Notes!$P$9</definedName>
    <definedName name="Cert_EndBal" localSheetId="3">[8]Notes!$P$9</definedName>
    <definedName name="Cert_EndBal">[9]Notes!$P$9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[11]Collateral!$B$4</definedName>
    <definedName name="Coll_BegBal" localSheetId="2">[10]Collateral!$B$4</definedName>
    <definedName name="Coll_BegBal" localSheetId="3">[8]Collateral!$B$4</definedName>
    <definedName name="Coll_BegBal">[9]Collateral!$B$4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[11]Collateral!$B$5</definedName>
    <definedName name="Coll_EndBal" localSheetId="2">[10]Collateral!$B$5</definedName>
    <definedName name="Coll_EndBal" localSheetId="3">[8]Collateral!$B$5</definedName>
    <definedName name="Coll_EndBal">[9]Collateral!$B$5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[11]Notes!$C$18</definedName>
    <definedName name="Curr_DistDate" localSheetId="2">[10]Notes!$C$18</definedName>
    <definedName name="Curr_DistDate" localSheetId="3">[8]Notes!$C$18</definedName>
    <definedName name="Curr_DistDate">[9]Notes!$C$18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[11]Waterfall!$B$4</definedName>
    <definedName name="Events_of_Default" localSheetId="2">[10]Waterfall!$B$4</definedName>
    <definedName name="Events_of_Default" localSheetId="3">[8]Waterfall!$B$4</definedName>
    <definedName name="Events_of_Default">[9]Waterfall!$B$4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[11]Notes!$C$16</definedName>
    <definedName name="First_DistDate" localSheetId="2">[10]Notes!$C$16</definedName>
    <definedName name="First_DistDate" localSheetId="3">[8]Notes!$C$16</definedName>
    <definedName name="First_DistDate">[9]Notes!$C$16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[11]Collateral!$B$6</definedName>
    <definedName name="OC_BegBal" localSheetId="2">[10]Collateral!$B$6</definedName>
    <definedName name="OC_BegBal" localSheetId="3">[8]Collateral!$B$6</definedName>
    <definedName name="OC_BegBal">[9]Collateral!$B$6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[11]Collateral!$B$7</definedName>
    <definedName name="OC_EndBal" localSheetId="2">[10]Collateral!$B$7</definedName>
    <definedName name="OC_EndBal" localSheetId="3">[8]Collateral!$B$7</definedName>
    <definedName name="OC_EndBal">[9]Collateral!$B$7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[11]Notes!$C$17</definedName>
    <definedName name="Prev_DistDate" localSheetId="2">[10]Notes!$C$17</definedName>
    <definedName name="Prev_DistDate" localSheetId="3">[8]Notes!$C$17</definedName>
    <definedName name="Prev_DistDate">[9]Notes!$C$17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[11]Waterfall!$D$7</definedName>
    <definedName name="Res_Fund" localSheetId="2">[10]Waterfall!$D$7</definedName>
    <definedName name="Res_Fund" localSheetId="3">[8]Waterfall!$D$7</definedName>
    <definedName name="Res_Fund">[9]Waterfall!$D$7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[11]Waterfall!$B$3</definedName>
    <definedName name="Rescission" localSheetId="2">[10]Waterfall!$B$3</definedName>
    <definedName name="Rescission" localSheetId="3">[8]Waterfall!$B$3</definedName>
    <definedName name="Rescission">[9]Waterfall!$B$3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7" i="12" l="1"/>
  <c r="E204" i="12"/>
  <c r="E201" i="12"/>
  <c r="E198" i="12"/>
  <c r="D190" i="12"/>
  <c r="D189" i="12"/>
  <c r="D186" i="12"/>
  <c r="D185" i="12"/>
  <c r="D187" i="12" s="1"/>
  <c r="D184" i="12"/>
  <c r="E180" i="12"/>
  <c r="D180" i="12"/>
  <c r="E179" i="12"/>
  <c r="D179" i="12"/>
  <c r="E178" i="12"/>
  <c r="D178" i="12"/>
  <c r="F175" i="12"/>
  <c r="F174" i="12"/>
  <c r="E174" i="12"/>
  <c r="D174" i="12"/>
  <c r="F173" i="12"/>
  <c r="E173" i="12"/>
  <c r="D173" i="12"/>
  <c r="F172" i="12"/>
  <c r="E172" i="12"/>
  <c r="D172" i="12"/>
  <c r="D181" i="12" s="1"/>
  <c r="F171" i="12"/>
  <c r="E171" i="12"/>
  <c r="E175" i="12" s="1"/>
  <c r="D171" i="12"/>
  <c r="D175" i="12" s="1"/>
  <c r="D168" i="12"/>
  <c r="D164" i="12"/>
  <c r="D163" i="12"/>
  <c r="D162" i="12"/>
  <c r="D160" i="12"/>
  <c r="D165" i="12" s="1"/>
  <c r="D166" i="12" s="1"/>
  <c r="D159" i="12"/>
  <c r="D158" i="12"/>
  <c r="E157" i="12"/>
  <c r="D157" i="12"/>
  <c r="E154" i="12"/>
  <c r="E153" i="12"/>
  <c r="E147" i="12"/>
  <c r="E146" i="12"/>
  <c r="E145" i="12"/>
  <c r="E144" i="12"/>
  <c r="E149" i="12" s="1"/>
  <c r="E143" i="12"/>
  <c r="E137" i="12"/>
  <c r="E136" i="12"/>
  <c r="E135" i="12"/>
  <c r="E130" i="12"/>
  <c r="E129" i="12"/>
  <c r="E131" i="12" s="1"/>
  <c r="E127" i="12"/>
  <c r="E126" i="12"/>
  <c r="E125" i="12"/>
  <c r="E123" i="12"/>
  <c r="E121" i="12"/>
  <c r="E120" i="12"/>
  <c r="E119" i="12"/>
  <c r="E117" i="12"/>
  <c r="E115" i="12"/>
  <c r="E110" i="12"/>
  <c r="E107" i="12"/>
  <c r="E106" i="12"/>
  <c r="E104" i="12"/>
  <c r="E103" i="12"/>
  <c r="E102" i="12"/>
  <c r="E99" i="12"/>
  <c r="E98" i="12"/>
  <c r="E96" i="12"/>
  <c r="E95" i="12"/>
  <c r="E94" i="12"/>
  <c r="E91" i="12"/>
  <c r="E90" i="12"/>
  <c r="E111" i="12" s="1"/>
  <c r="E88" i="12"/>
  <c r="E87" i="12"/>
  <c r="E86" i="12"/>
  <c r="E83" i="12"/>
  <c r="E82" i="12"/>
  <c r="E80" i="12"/>
  <c r="E79" i="12"/>
  <c r="E78" i="12"/>
  <c r="E75" i="12"/>
  <c r="E113" i="12" s="1"/>
  <c r="E74" i="12"/>
  <c r="E72" i="12"/>
  <c r="E71" i="12"/>
  <c r="E70" i="12"/>
  <c r="E112" i="12" s="1"/>
  <c r="E66" i="12"/>
  <c r="E65" i="12"/>
  <c r="E64" i="12"/>
  <c r="E61" i="12"/>
  <c r="E58" i="12"/>
  <c r="D53" i="12"/>
  <c r="E181" i="12" s="1"/>
  <c r="E51" i="12"/>
  <c r="D51" i="12"/>
  <c r="E44" i="12"/>
  <c r="E42" i="12"/>
  <c r="E41" i="12"/>
  <c r="E40" i="12"/>
  <c r="E36" i="12"/>
  <c r="E37" i="12" s="1"/>
  <c r="E47" i="12" s="1"/>
  <c r="E57" i="12" s="1"/>
  <c r="E59" i="12" s="1"/>
  <c r="E35" i="12"/>
  <c r="E28" i="12"/>
  <c r="C28" i="12"/>
  <c r="B28" i="12"/>
  <c r="E27" i="12"/>
  <c r="C27" i="12"/>
  <c r="B27" i="12"/>
  <c r="E26" i="12"/>
  <c r="C26" i="12"/>
  <c r="B26" i="12"/>
  <c r="D26" i="12" s="1"/>
  <c r="E25" i="12"/>
  <c r="C25" i="12"/>
  <c r="B25" i="12"/>
  <c r="E24" i="12"/>
  <c r="C24" i="12"/>
  <c r="B24" i="12"/>
  <c r="C23" i="12"/>
  <c r="C29" i="12" s="1"/>
  <c r="B23" i="12"/>
  <c r="B29" i="12" s="1"/>
  <c r="F19" i="12"/>
  <c r="E19" i="12"/>
  <c r="D19" i="12"/>
  <c r="C19" i="12"/>
  <c r="D28" i="12" s="1"/>
  <c r="B19" i="12"/>
  <c r="E18" i="12"/>
  <c r="D18" i="12"/>
  <c r="C18" i="12"/>
  <c r="D27" i="12" s="1"/>
  <c r="B18" i="12"/>
  <c r="F17" i="12"/>
  <c r="E17" i="12"/>
  <c r="D17" i="12"/>
  <c r="D13" i="12" s="1"/>
  <c r="C17" i="12"/>
  <c r="B17" i="12"/>
  <c r="E16" i="12"/>
  <c r="D16" i="12"/>
  <c r="C16" i="12"/>
  <c r="D25" i="12" s="1"/>
  <c r="B16" i="12"/>
  <c r="F15" i="12"/>
  <c r="E15" i="12"/>
  <c r="D15" i="12"/>
  <c r="C15" i="12"/>
  <c r="D24" i="12" s="1"/>
  <c r="B15" i="12"/>
  <c r="E14" i="12"/>
  <c r="E13" i="12" s="1"/>
  <c r="D14" i="12"/>
  <c r="C14" i="12"/>
  <c r="F14" i="12" s="1"/>
  <c r="B14" i="12"/>
  <c r="E12" i="12"/>
  <c r="D12" i="12"/>
  <c r="E11" i="12"/>
  <c r="D11" i="12"/>
  <c r="C11" i="12"/>
  <c r="C12" i="12" s="1"/>
  <c r="E10" i="12"/>
  <c r="D10" i="12"/>
  <c r="C10" i="12"/>
  <c r="F6" i="12"/>
  <c r="F5" i="12"/>
  <c r="F4" i="12"/>
  <c r="D4" i="12"/>
  <c r="B4" i="12"/>
  <c r="F3" i="12"/>
  <c r="D3" i="12"/>
  <c r="B3" i="12"/>
  <c r="D182" i="12" l="1"/>
  <c r="E52" i="12"/>
  <c r="F10" i="12"/>
  <c r="E182" i="12"/>
  <c r="E53" i="12"/>
  <c r="F16" i="12"/>
  <c r="F18" i="12"/>
  <c r="D23" i="12"/>
  <c r="E23" i="12"/>
  <c r="C13" i="12"/>
  <c r="F13" i="12" s="1"/>
</calcChain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<sst xmlns="http://schemas.openxmlformats.org/spreadsheetml/2006/main" count="2047" uniqueCount="157">
  <si>
    <t>Nissan Auto Receivables 2020-A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</si>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</sst>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  <xf numFmtId="43" fontId="2" fillId="0" borderId="0" xfId="7" applyFont="1" applyFill="1"/>
    <xf numFmtId="170" fontId="2" fillId="0" borderId="0" xfId="7" applyNumberFormat="1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Apr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Oct2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Nov21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Dec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Aug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Feb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Jul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Ju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Mar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May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Sep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0A/ABS6/20-AJan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744953892.74000001</v>
          </cell>
        </row>
        <row r="5">
          <cell r="B5">
            <v>713708819.29999995</v>
          </cell>
        </row>
        <row r="6">
          <cell r="B6">
            <v>40489955.020000003</v>
          </cell>
        </row>
        <row r="7">
          <cell r="B7">
            <v>38125892.140000001</v>
          </cell>
        </row>
        <row r="8">
          <cell r="B8">
            <v>704463937.72000003</v>
          </cell>
        </row>
        <row r="9">
          <cell r="B9">
            <v>675582927.15999997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33050932.609999999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171326087.53</v>
          </cell>
          <cell r="P5">
            <v>142445076.96999994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568032086.92999995</v>
          </cell>
        </row>
        <row r="5">
          <cell r="B5">
            <v>542626228.21000004</v>
          </cell>
        </row>
        <row r="6">
          <cell r="B6">
            <v>27628665.940000001</v>
          </cell>
        </row>
        <row r="7">
          <cell r="B7">
            <v>25878880.489999998</v>
          </cell>
        </row>
        <row r="8">
          <cell r="B8">
            <v>540403420.98999989</v>
          </cell>
        </row>
        <row r="9">
          <cell r="B9">
            <v>516747347.72000003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26645412.940000001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7265570.7999999598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384609497.53000009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44484</v>
          </cell>
        </row>
        <row r="18">
          <cell r="C18">
            <v>44515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0809_COLLATERAL_BALANCE</v>
          </cell>
          <cell r="D2">
            <v>517957526.38</v>
          </cell>
          <cell r="F2" t="str">
            <v>N</v>
          </cell>
        </row>
        <row r="3">
          <cell r="B3" t="str">
            <v>0809_CURRENT_AMT</v>
          </cell>
          <cell r="D3">
            <v>0</v>
          </cell>
          <cell r="F3" t="str">
            <v>N</v>
          </cell>
        </row>
        <row r="4">
          <cell r="B4" t="str">
            <v>0809_CURRENT_CNT</v>
          </cell>
          <cell r="D4">
            <v>1479</v>
          </cell>
          <cell r="F4" t="str">
            <v>N</v>
          </cell>
        </row>
        <row r="5">
          <cell r="B5" t="str">
            <v>0809_CURRENT_MONTH_EXTENSIONS</v>
          </cell>
          <cell r="D5">
            <v>1833869.93</v>
          </cell>
          <cell r="F5" t="str">
            <v>N</v>
          </cell>
        </row>
        <row r="6">
          <cell r="B6" t="str">
            <v>0809_CURRENT_MONTH_EXTENSIONS_CNT</v>
          </cell>
          <cell r="D6">
            <v>91</v>
          </cell>
          <cell r="F6" t="str">
            <v>N</v>
          </cell>
        </row>
        <row r="7">
          <cell r="B7" t="str">
            <v>0809_DAILY_REMIT</v>
          </cell>
          <cell r="D7">
            <v>26257737.809999999</v>
          </cell>
          <cell r="F7" t="str">
            <v>N</v>
          </cell>
        </row>
        <row r="8">
          <cell r="B8" t="str">
            <v>0809_DELINQ_60_PLUS_AMT</v>
          </cell>
          <cell r="D8">
            <v>710425.06</v>
          </cell>
          <cell r="F8" t="str">
            <v>N</v>
          </cell>
        </row>
        <row r="9">
          <cell r="B9" t="str">
            <v>0809_DELINQ_60_PLUS_CNT</v>
          </cell>
          <cell r="D9">
            <v>35</v>
          </cell>
          <cell r="F9" t="str">
            <v>N</v>
          </cell>
        </row>
        <row r="10">
          <cell r="B10" t="str">
            <v>0809_DELQ_121_PLUS_AMT</v>
          </cell>
          <cell r="D10">
            <v>0</v>
          </cell>
          <cell r="F10" t="str">
            <v>N</v>
          </cell>
        </row>
        <row r="11">
          <cell r="B11" t="str">
            <v>0809_DELQ_121_PLUS_CNT</v>
          </cell>
          <cell r="D11">
            <v>0</v>
          </cell>
          <cell r="F11" t="str">
            <v>N</v>
          </cell>
        </row>
        <row r="12">
          <cell r="B12" t="str">
            <v>0809_DELQ_31_60_AMT</v>
          </cell>
          <cell r="D12">
            <v>1807121.84</v>
          </cell>
          <cell r="F12" t="str">
            <v>N</v>
          </cell>
        </row>
        <row r="13">
          <cell r="B13" t="str">
            <v>0809_DELQ_31_60_CNT</v>
          </cell>
          <cell r="D13">
            <v>96</v>
          </cell>
          <cell r="F13" t="str">
            <v>N</v>
          </cell>
        </row>
        <row r="14">
          <cell r="B14" t="str">
            <v>0809_DELQ_61_90_AMT</v>
          </cell>
          <cell r="D14">
            <v>592663.47</v>
          </cell>
          <cell r="F14" t="str">
            <v>N</v>
          </cell>
        </row>
        <row r="15">
          <cell r="B15" t="str">
            <v>0809_DELQ_61_90_CNT</v>
          </cell>
          <cell r="D15">
            <v>27</v>
          </cell>
          <cell r="F15" t="str">
            <v>N</v>
          </cell>
        </row>
        <row r="16">
          <cell r="B16" t="str">
            <v>0809_DELQ_91_120_AMT</v>
          </cell>
          <cell r="D16">
            <v>69219.37</v>
          </cell>
          <cell r="F16" t="str">
            <v>N</v>
          </cell>
        </row>
        <row r="17">
          <cell r="B17" t="str">
            <v>0809_DELQ_91_120_CNT</v>
          </cell>
          <cell r="D17">
            <v>5</v>
          </cell>
          <cell r="F17" t="str">
            <v>N</v>
          </cell>
        </row>
        <row r="18">
          <cell r="B18" t="str">
            <v>ADM_PURCH_PAY</v>
          </cell>
          <cell r="D18">
            <v>0</v>
          </cell>
          <cell r="F18" t="str">
            <v>N</v>
          </cell>
        </row>
        <row r="19">
          <cell r="B19" t="str">
            <v>COLL_END_DATE</v>
          </cell>
          <cell r="D19">
            <v>0</v>
          </cell>
          <cell r="E19">
            <v>44530</v>
          </cell>
          <cell r="F19" t="str">
            <v>D</v>
          </cell>
        </row>
        <row r="20">
          <cell r="B20" t="str">
            <v>COLLATERAL_COUNT</v>
          </cell>
          <cell r="D20">
            <v>33430</v>
          </cell>
          <cell r="F20" t="str">
            <v>N</v>
          </cell>
        </row>
        <row r="21">
          <cell r="B21" t="str">
            <v>COUNTERPARTY_PMT</v>
          </cell>
          <cell r="D21">
            <v>0</v>
          </cell>
          <cell r="F21" t="str">
            <v>N</v>
          </cell>
        </row>
        <row r="22">
          <cell r="B22" t="str">
            <v>DEBT_SALE_RECOVERIES</v>
          </cell>
          <cell r="D22">
            <v>0</v>
          </cell>
          <cell r="F22" t="str">
            <v>N</v>
          </cell>
        </row>
        <row r="23">
          <cell r="B23" t="str">
            <v>DISTRIBUTION_DATE</v>
          </cell>
          <cell r="D23">
            <v>0</v>
          </cell>
          <cell r="E23">
            <v>44545</v>
          </cell>
          <cell r="F23" t="str">
            <v>D</v>
          </cell>
        </row>
        <row r="24">
          <cell r="B24" t="str">
            <v>EARNING_YIELD_SUPPLEMENT</v>
          </cell>
          <cell r="D24">
            <v>0</v>
          </cell>
          <cell r="F24" t="str">
            <v>N</v>
          </cell>
        </row>
        <row r="25">
          <cell r="B25" t="str">
            <v>EVENT_DEFAULT_A</v>
          </cell>
          <cell r="C25" t="str">
            <v>NO</v>
          </cell>
          <cell r="D25">
            <v>0</v>
          </cell>
          <cell r="F25" t="str">
            <v>C</v>
          </cell>
        </row>
        <row r="26">
          <cell r="B26" t="str">
            <v>EVENT_DEFAULT_B</v>
          </cell>
          <cell r="C26" t="str">
            <v>NO</v>
          </cell>
          <cell r="D26">
            <v>0</v>
          </cell>
          <cell r="F26" t="str">
            <v>N</v>
          </cell>
        </row>
        <row r="27">
          <cell r="B27" t="str">
            <v>EVENT_DEFAULT_C</v>
          </cell>
          <cell r="C27" t="str">
            <v>NO</v>
          </cell>
          <cell r="D27">
            <v>0</v>
          </cell>
          <cell r="F27" t="str">
            <v>N</v>
          </cell>
        </row>
        <row r="28">
          <cell r="B28" t="str">
            <v>EVENT_DEFAULT_D</v>
          </cell>
          <cell r="C28" t="str">
            <v>NO</v>
          </cell>
          <cell r="D28">
            <v>0</v>
          </cell>
          <cell r="F28" t="str">
            <v>N</v>
          </cell>
        </row>
        <row r="29">
          <cell r="B29" t="str">
            <v>EVENT_DEFAULT_E</v>
          </cell>
          <cell r="C29" t="str">
            <v>NO</v>
          </cell>
          <cell r="D29">
            <v>0</v>
          </cell>
          <cell r="F29" t="str">
            <v>N</v>
          </cell>
        </row>
        <row r="30">
          <cell r="B30" t="str">
            <v>INT_ACCRUED_UNPAID</v>
          </cell>
          <cell r="D30">
            <v>0</v>
          </cell>
          <cell r="F30" t="str">
            <v>N</v>
          </cell>
        </row>
        <row r="31">
          <cell r="B31" t="str">
            <v>INT_COLL_ACCT</v>
          </cell>
          <cell r="D31">
            <v>190.67</v>
          </cell>
          <cell r="F31" t="str">
            <v>N</v>
          </cell>
        </row>
        <row r="32">
          <cell r="B32" t="str">
            <v>INT_NET_LIQ_PROCEEDS</v>
          </cell>
          <cell r="D32">
            <v>-5524.74</v>
          </cell>
          <cell r="F32" t="str">
            <v>N</v>
          </cell>
        </row>
        <row r="33">
          <cell r="B33" t="str">
            <v>INT_REPURCHASE_PROCEED</v>
          </cell>
          <cell r="D33">
            <v>0</v>
          </cell>
          <cell r="F33" t="str">
            <v>N</v>
          </cell>
        </row>
        <row r="34">
          <cell r="B34" t="str">
            <v>INT_RESERVE_ACCT</v>
          </cell>
          <cell r="D34">
            <v>87.26</v>
          </cell>
          <cell r="F34" t="str">
            <v>N</v>
          </cell>
        </row>
        <row r="35">
          <cell r="B35" t="str">
            <v>INTEREST_COLLECTIONS</v>
          </cell>
          <cell r="D35">
            <v>1424890.57</v>
          </cell>
          <cell r="F35" t="str">
            <v>N</v>
          </cell>
        </row>
        <row r="36">
          <cell r="B36" t="str">
            <v>INVESTEARNEDYSA</v>
          </cell>
          <cell r="D36">
            <v>0</v>
          </cell>
          <cell r="F36" t="str">
            <v>N</v>
          </cell>
        </row>
        <row r="37">
          <cell r="B37" t="str">
            <v>LIBOR_RATE</v>
          </cell>
          <cell r="D37">
            <v>8.9499999999999996E-4</v>
          </cell>
          <cell r="F37" t="str">
            <v>N</v>
          </cell>
        </row>
        <row r="38">
          <cell r="B38" t="str">
            <v>LOSS_AMT</v>
          </cell>
          <cell r="D38">
            <v>134471.13</v>
          </cell>
          <cell r="F38" t="str">
            <v>N</v>
          </cell>
        </row>
        <row r="39">
          <cell r="B39" t="str">
            <v>LOSS_CNT</v>
          </cell>
          <cell r="D39">
            <v>7</v>
          </cell>
          <cell r="F39" t="str">
            <v>N</v>
          </cell>
        </row>
        <row r="40">
          <cell r="B40" t="str">
            <v>NET_SWAP_PAYMENTS</v>
          </cell>
          <cell r="D40">
            <v>0</v>
          </cell>
          <cell r="F40" t="str">
            <v>N</v>
          </cell>
        </row>
        <row r="41">
          <cell r="B41" t="str">
            <v>NET_SWAP_RECEIPTS</v>
          </cell>
          <cell r="D41">
            <v>0</v>
          </cell>
          <cell r="F41" t="str">
            <v>N</v>
          </cell>
        </row>
        <row r="42">
          <cell r="B42" t="str">
            <v>OPTIONAL_PURCHASE</v>
          </cell>
          <cell r="D42">
            <v>0</v>
          </cell>
          <cell r="F42" t="str">
            <v>N</v>
          </cell>
        </row>
        <row r="43">
          <cell r="B43" t="str">
            <v>OVERCOLLATERALIZATION_AMT</v>
          </cell>
          <cell r="D43">
            <v>24176414.859999999</v>
          </cell>
          <cell r="F43" t="str">
            <v>N</v>
          </cell>
        </row>
        <row r="44">
          <cell r="B44" t="str">
            <v>PI_ADV</v>
          </cell>
          <cell r="D44">
            <v>0</v>
          </cell>
          <cell r="F44" t="str">
            <v>N</v>
          </cell>
        </row>
        <row r="45">
          <cell r="B45" t="str">
            <v>POOL_WAC</v>
          </cell>
          <cell r="D45">
            <v>3.0591746699999998E-2</v>
          </cell>
          <cell r="F45" t="str">
            <v>N</v>
          </cell>
        </row>
        <row r="46">
          <cell r="B46" t="str">
            <v>POOL_WARM</v>
          </cell>
          <cell r="D46">
            <v>38.782342999999997</v>
          </cell>
          <cell r="F46" t="str">
            <v>N</v>
          </cell>
        </row>
        <row r="47">
          <cell r="B47" t="str">
            <v>PRIN_NET_LIQ_PROCEEDS</v>
          </cell>
          <cell r="D47">
            <v>209266.34</v>
          </cell>
          <cell r="F47" t="str">
            <v>N</v>
          </cell>
        </row>
        <row r="48">
          <cell r="B48" t="str">
            <v>PRIN_REPURCHASE_PROCEED</v>
          </cell>
          <cell r="D48">
            <v>0</v>
          </cell>
          <cell r="F48" t="str">
            <v>N</v>
          </cell>
        </row>
        <row r="49">
          <cell r="B49" t="str">
            <v>PRINCIPAL_COLLECTIONS</v>
          </cell>
          <cell r="D49">
            <v>24534230.699999999</v>
          </cell>
          <cell r="F49" t="str">
            <v>N</v>
          </cell>
        </row>
        <row r="50">
          <cell r="B50" t="str">
            <v>RECEIVED_DATE</v>
          </cell>
          <cell r="D50">
            <v>0</v>
          </cell>
          <cell r="E50">
            <v>44532</v>
          </cell>
          <cell r="F50" t="str">
            <v>D</v>
          </cell>
        </row>
        <row r="51">
          <cell r="B51" t="str">
            <v>RECOVERIES_ADV</v>
          </cell>
          <cell r="D51">
            <v>0</v>
          </cell>
          <cell r="F51" t="str">
            <v>N</v>
          </cell>
        </row>
        <row r="52">
          <cell r="B52" t="str">
            <v>RECOVERY_ADJ</v>
          </cell>
          <cell r="D52">
            <v>0</v>
          </cell>
          <cell r="F52" t="str">
            <v>N</v>
          </cell>
        </row>
        <row r="53">
          <cell r="B53" t="str">
            <v>RESCISSION</v>
          </cell>
          <cell r="C53" t="str">
            <v>NO</v>
          </cell>
          <cell r="D53">
            <v>0</v>
          </cell>
          <cell r="F53" t="str">
            <v>N</v>
          </cell>
        </row>
        <row r="54">
          <cell r="B54" t="str">
            <v>RESERVE_TO_COLL_TRANSFER</v>
          </cell>
          <cell r="D54">
            <v>0</v>
          </cell>
          <cell r="F54" t="str">
            <v>N</v>
          </cell>
        </row>
        <row r="55">
          <cell r="B55" t="str">
            <v>SEN_SWAP_TERM_PAYMENTS</v>
          </cell>
          <cell r="D55">
            <v>0</v>
          </cell>
          <cell r="F55" t="str">
            <v>N</v>
          </cell>
        </row>
        <row r="56">
          <cell r="B56" t="str">
            <v>STMNT_TO_NOTEHLD_1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STMNT_TO_NOTEHLD_2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STMNT_TO_NOTEHLD_3</v>
          </cell>
          <cell r="C58" t="str">
            <v>NO</v>
          </cell>
          <cell r="D58">
            <v>0</v>
          </cell>
          <cell r="F58" t="str">
            <v>N</v>
          </cell>
        </row>
        <row r="59">
          <cell r="B59" t="str">
            <v>STMNT_TO_NOTEHLD_4</v>
          </cell>
          <cell r="C59" t="str">
            <v>NO</v>
          </cell>
          <cell r="D59">
            <v>0</v>
          </cell>
          <cell r="F59" t="str">
            <v>N</v>
          </cell>
        </row>
        <row r="60">
          <cell r="B60" t="str">
            <v>STMNT_TO_NOTEHLD_5</v>
          </cell>
          <cell r="C60" t="str">
            <v>NO</v>
          </cell>
          <cell r="D60">
            <v>0</v>
          </cell>
          <cell r="F60" t="str">
            <v>N</v>
          </cell>
        </row>
        <row r="61">
          <cell r="B61" t="str">
            <v>STMNT_TO_NOTEHLD_6</v>
          </cell>
          <cell r="C61" t="str">
            <v>NO</v>
          </cell>
          <cell r="D61">
            <v>0</v>
          </cell>
          <cell r="F61" t="str">
            <v>N</v>
          </cell>
        </row>
        <row r="62">
          <cell r="B62" t="str">
            <v>SUB_SWAP_TERM_PAYMENTS</v>
          </cell>
          <cell r="D62">
            <v>0</v>
          </cell>
          <cell r="F62" t="str">
            <v>N</v>
          </cell>
        </row>
        <row r="63">
          <cell r="B63" t="str">
            <v>SWAP_REPLACEMENT_PROCEEDS</v>
          </cell>
          <cell r="D63">
            <v>0</v>
          </cell>
          <cell r="F63" t="str">
            <v>N</v>
          </cell>
        </row>
        <row r="64">
          <cell r="B64" t="str">
            <v>SWAP_TERM_RECEIPT</v>
          </cell>
          <cell r="D64">
            <v>0</v>
          </cell>
          <cell r="F64" t="str">
            <v>N</v>
          </cell>
        </row>
        <row r="65">
          <cell r="B65" t="str">
            <v>test</v>
          </cell>
          <cell r="D65">
            <v>0</v>
          </cell>
          <cell r="F65" t="str">
            <v>D</v>
          </cell>
        </row>
        <row r="66">
          <cell r="B66" t="str">
            <v>test2</v>
          </cell>
          <cell r="D66">
            <v>0</v>
          </cell>
          <cell r="F66" t="str">
            <v>N</v>
          </cell>
        </row>
        <row r="67">
          <cell r="B67" t="str">
            <v>WARRANT_PAY</v>
          </cell>
          <cell r="D67">
            <v>0</v>
          </cell>
          <cell r="F67" t="str">
            <v>N</v>
          </cell>
        </row>
        <row r="68">
          <cell r="B68" t="str">
            <v>YSA_BALANCE</v>
          </cell>
          <cell r="D68">
            <v>25891759.41</v>
          </cell>
          <cell r="F68" t="str">
            <v>N</v>
          </cell>
        </row>
        <row r="69">
          <cell r="B69" t="str">
            <v>_KeyABSID</v>
          </cell>
          <cell r="C69" t="str">
            <v>R20A</v>
          </cell>
          <cell r="F69" t="str">
            <v>C</v>
          </cell>
        </row>
        <row r="70">
          <cell r="B70" t="str">
            <v>_KeyDate</v>
          </cell>
          <cell r="E70">
            <v>44530</v>
          </cell>
          <cell r="F70" t="str">
            <v>D</v>
          </cell>
        </row>
        <row r="71">
          <cell r="B71" t="str">
            <v>_KeyPeriod</v>
          </cell>
          <cell r="D71">
            <v>19</v>
          </cell>
          <cell r="F71" t="str">
            <v>N</v>
          </cell>
        </row>
      </sheetData>
      <sheetData sheetId="1" refreshError="1"/>
      <sheetData sheetId="2" refreshError="1"/>
      <sheetData sheetId="3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0809_CUM_LOSS_CNT</v>
          </cell>
          <cell r="D2">
            <v>0</v>
          </cell>
          <cell r="F2" t="str">
            <v>N</v>
          </cell>
        </row>
        <row r="3">
          <cell r="B3" t="str">
            <v>0809_CUM_LOSS_AMT</v>
          </cell>
          <cell r="D3">
            <v>0</v>
          </cell>
          <cell r="F3" t="str">
            <v>N</v>
          </cell>
        </row>
        <row r="4">
          <cell r="B4" t="str">
            <v>0809_COLLATERAL_BALANCE</v>
          </cell>
          <cell r="D4">
            <v>1119632940.8099999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43966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43951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43950</v>
          </cell>
          <cell r="F7" t="str">
            <v>D</v>
          </cell>
        </row>
        <row r="8">
          <cell r="B8" t="str">
            <v>NOTEBAL_A1</v>
          </cell>
          <cell r="D8">
            <v>162000000</v>
          </cell>
          <cell r="F8" t="str">
            <v>N</v>
          </cell>
        </row>
        <row r="9">
          <cell r="B9" t="str">
            <v>NOTEBAL_A2a</v>
          </cell>
          <cell r="D9">
            <v>352000000</v>
          </cell>
          <cell r="F9" t="str">
            <v>N</v>
          </cell>
        </row>
        <row r="10">
          <cell r="B10" t="str">
            <v>NOTEBAL_A2b</v>
          </cell>
          <cell r="D10">
            <v>0</v>
          </cell>
          <cell r="F10" t="str">
            <v>N</v>
          </cell>
        </row>
        <row r="11">
          <cell r="B11" t="str">
            <v>NOTEBAL_A3</v>
          </cell>
          <cell r="D11">
            <v>401000000</v>
          </cell>
          <cell r="F11" t="str">
            <v>N</v>
          </cell>
        </row>
        <row r="12">
          <cell r="B12" t="str">
            <v>NOTEBAL_A4</v>
          </cell>
          <cell r="D12">
            <v>85000000</v>
          </cell>
          <cell r="F12" t="str">
            <v>N</v>
          </cell>
        </row>
        <row r="13">
          <cell r="B13" t="str">
            <v>NOTEBAL_C</v>
          </cell>
          <cell r="D13">
            <v>47137850.189999998</v>
          </cell>
          <cell r="F13" t="str">
            <v>N</v>
          </cell>
        </row>
        <row r="14">
          <cell r="B14" t="str">
            <v>YIELD_SUPPLEMENT_ACCOUNT</v>
          </cell>
          <cell r="D14">
            <v>0</v>
          </cell>
          <cell r="F14" t="str">
            <v>N</v>
          </cell>
        </row>
        <row r="15">
          <cell r="B15" t="str">
            <v>0809_RESERVE_FUND</v>
          </cell>
          <cell r="D15">
            <v>10471378.5</v>
          </cell>
          <cell r="F15" t="str">
            <v>N</v>
          </cell>
        </row>
        <row r="16">
          <cell r="B16" t="str">
            <v>SHORTFALL_INTEREST_A1</v>
          </cell>
          <cell r="D16">
            <v>0</v>
          </cell>
          <cell r="F16" t="str">
            <v>N</v>
          </cell>
        </row>
        <row r="17">
          <cell r="B17" t="str">
            <v>SHORTFALL_INTEREST_A2a</v>
          </cell>
          <cell r="D17">
            <v>0</v>
          </cell>
          <cell r="F17" t="str">
            <v>N</v>
          </cell>
        </row>
        <row r="18">
          <cell r="B18" t="str">
            <v>SHORTFALL_INTEREST_A2b</v>
          </cell>
          <cell r="D18">
            <v>0</v>
          </cell>
          <cell r="F18" t="str">
            <v>N</v>
          </cell>
        </row>
        <row r="19">
          <cell r="B19" t="str">
            <v>SHORTFALL_INTEREST_A3</v>
          </cell>
          <cell r="D19">
            <v>0</v>
          </cell>
          <cell r="F19" t="str">
            <v>N</v>
          </cell>
        </row>
        <row r="20">
          <cell r="B20" t="str">
            <v>SHORTFALL_INTEREST_A4</v>
          </cell>
          <cell r="D20">
            <v>0</v>
          </cell>
          <cell r="F20" t="str">
            <v>N</v>
          </cell>
        </row>
        <row r="21">
          <cell r="B21" t="str">
            <v>SHORTFALL_CLASS_A1_PRIN</v>
          </cell>
          <cell r="D21">
            <v>0</v>
          </cell>
          <cell r="F21" t="str">
            <v>N</v>
          </cell>
        </row>
        <row r="22">
          <cell r="B22" t="str">
            <v>SHORTFALL_CLASS_A2a_PRIN</v>
          </cell>
          <cell r="D22">
            <v>0</v>
          </cell>
          <cell r="F22" t="str">
            <v>N</v>
          </cell>
        </row>
        <row r="23">
          <cell r="B23" t="str">
            <v>SHORTFALL_CLASS_A2b_PRIN</v>
          </cell>
          <cell r="D23">
            <v>0</v>
          </cell>
          <cell r="F23" t="str">
            <v>N</v>
          </cell>
        </row>
        <row r="24">
          <cell r="B24" t="str">
            <v>SHORTFALL_CLASS_A3_PRIN</v>
          </cell>
          <cell r="D24">
            <v>0</v>
          </cell>
          <cell r="F24" t="str">
            <v>N</v>
          </cell>
        </row>
        <row r="25">
          <cell r="B25" t="str">
            <v>SHORTFALL_CLASS_A4_PRIN</v>
          </cell>
          <cell r="D25">
            <v>0</v>
          </cell>
          <cell r="F25" t="str">
            <v>N</v>
          </cell>
        </row>
        <row r="26">
          <cell r="B26" t="str">
            <v>SHORTFALL_CERT_PRIN</v>
          </cell>
          <cell r="D26">
            <v>0</v>
          </cell>
          <cell r="F26" t="str">
            <v>N</v>
          </cell>
        </row>
        <row r="27">
          <cell r="B27" t="str">
            <v>SHORTFALL_SVC_FEE</v>
          </cell>
          <cell r="D27">
            <v>0</v>
          </cell>
          <cell r="F27" t="str">
            <v>N</v>
          </cell>
        </row>
        <row r="28">
          <cell r="B28" t="str">
            <v>SHORTFALL_SWAP_PAY</v>
          </cell>
          <cell r="D28">
            <v>0</v>
          </cell>
          <cell r="F28" t="str">
            <v>N</v>
          </cell>
        </row>
        <row r="29">
          <cell r="B29" t="str">
            <v>SHORTFALL_SR_SWAP_TRM_PAY</v>
          </cell>
          <cell r="D29">
            <v>0</v>
          </cell>
          <cell r="F29" t="str">
            <v>N</v>
          </cell>
        </row>
        <row r="30">
          <cell r="B30" t="str">
            <v>SHORTFALL_SUB_SWAP_TRM_PA</v>
          </cell>
          <cell r="D30">
            <v>0</v>
          </cell>
          <cell r="F30" t="str">
            <v>N</v>
          </cell>
        </row>
        <row r="31">
          <cell r="B31" t="str">
            <v>NET_LOSS_RATIO_PREV_2ND</v>
          </cell>
          <cell r="D31">
            <v>0</v>
          </cell>
          <cell r="F31" t="str">
            <v>N</v>
          </cell>
        </row>
        <row r="32">
          <cell r="B32" t="str">
            <v>NET_LOSS_RATIO_PREV</v>
          </cell>
          <cell r="D32">
            <v>0</v>
          </cell>
          <cell r="F32" t="str">
            <v>N</v>
          </cell>
        </row>
        <row r="33">
          <cell r="B33" t="str">
            <v>DELQ_RATIO_PREV_2ND</v>
          </cell>
          <cell r="D33">
            <v>0</v>
          </cell>
          <cell r="F33" t="str">
            <v>N</v>
          </cell>
        </row>
        <row r="34">
          <cell r="B34" t="str">
            <v>DELQ_RATIO_PREV</v>
          </cell>
          <cell r="D34">
            <v>0</v>
          </cell>
          <cell r="F34" t="str">
            <v>N</v>
          </cell>
        </row>
        <row r="35">
          <cell r="B35" t="str">
            <v>COLLATERAL_COUNT</v>
          </cell>
          <cell r="D35">
            <v>50112</v>
          </cell>
          <cell r="F35" t="str">
            <v>N</v>
          </cell>
        </row>
        <row r="36">
          <cell r="B36" t="str">
            <v>REIMBURSE_SVC_ADV</v>
          </cell>
          <cell r="D36">
            <v>0</v>
          </cell>
          <cell r="F36" t="str">
            <v>N</v>
          </cell>
        </row>
        <row r="37">
          <cell r="B37" t="str">
            <v>TOTAL_INT_ACCRUAL</v>
          </cell>
          <cell r="D37">
            <v>0</v>
          </cell>
          <cell r="F37" t="str">
            <v>N</v>
          </cell>
        </row>
        <row r="38">
          <cell r="B38" t="str">
            <v>INT_ACCRUAL_A1</v>
          </cell>
          <cell r="D38">
            <v>0</v>
          </cell>
          <cell r="F38" t="str">
            <v>N</v>
          </cell>
        </row>
        <row r="39">
          <cell r="B39" t="str">
            <v>INT_ACCRUAL_A2a</v>
          </cell>
          <cell r="D39">
            <v>0</v>
          </cell>
          <cell r="F39" t="str">
            <v>N</v>
          </cell>
        </row>
        <row r="40">
          <cell r="B40" t="str">
            <v>INT_ACCRUAL_A2b</v>
          </cell>
          <cell r="D40">
            <v>0</v>
          </cell>
          <cell r="F40" t="str">
            <v>N</v>
          </cell>
        </row>
        <row r="41">
          <cell r="B41" t="str">
            <v>INT_ACCRUAL_A3</v>
          </cell>
          <cell r="D41">
            <v>0</v>
          </cell>
          <cell r="F41" t="str">
            <v>N</v>
          </cell>
        </row>
        <row r="42">
          <cell r="B42" t="str">
            <v>INT_ACCRUAL_A4</v>
          </cell>
          <cell r="D42">
            <v>0</v>
          </cell>
          <cell r="F42" t="str">
            <v>N</v>
          </cell>
        </row>
        <row r="43">
          <cell r="B43" t="str">
            <v>OVERCOLLATERAL_BALANCE</v>
          </cell>
          <cell r="D43">
            <v>72495090.620000005</v>
          </cell>
          <cell r="F43" t="str">
            <v>N</v>
          </cell>
        </row>
        <row r="44">
          <cell r="B44" t="str">
            <v>DELQ_RATIO_PREV_3RD</v>
          </cell>
          <cell r="D44">
            <v>0</v>
          </cell>
          <cell r="F44" t="str">
            <v>N</v>
          </cell>
        </row>
        <row r="45">
          <cell r="B45" t="str">
            <v>DELQ_RATIO_PREV_3RD_AMT</v>
          </cell>
          <cell r="D45">
            <v>0</v>
          </cell>
          <cell r="F45" t="str">
            <v>N</v>
          </cell>
        </row>
        <row r="46">
          <cell r="B46" t="str">
            <v>DELQ_RATIO_PREV_2ND_AMT</v>
          </cell>
          <cell r="D46">
            <v>0</v>
          </cell>
          <cell r="E46" t="str">
            <v xml:space="preserve">  </v>
          </cell>
          <cell r="F46" t="str">
            <v>N</v>
          </cell>
        </row>
        <row r="47">
          <cell r="B47" t="str">
            <v>DELQ_RATIO_PREV_AMT</v>
          </cell>
          <cell r="D47">
            <v>0</v>
          </cell>
          <cell r="F47" t="str">
            <v>N</v>
          </cell>
        </row>
        <row r="48">
          <cell r="B48" t="str">
            <v>NET_LOSS_RATIO_PREV_3RD</v>
          </cell>
          <cell r="D48">
            <v>0</v>
          </cell>
          <cell r="F48" t="str">
            <v>N</v>
          </cell>
        </row>
        <row r="49">
          <cell r="B49" t="str">
            <v>DELQ_TRIGGER</v>
          </cell>
          <cell r="D49">
            <v>4.9000000000000002E-2</v>
          </cell>
          <cell r="F49" t="str">
            <v>N</v>
          </cell>
        </row>
        <row r="50">
          <cell r="B50" t="str">
            <v>YSREQUIREDRATE</v>
          </cell>
          <cell r="D50">
            <v>4.9500000000000002E-2</v>
          </cell>
          <cell r="F50" t="str">
            <v>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542626228.21000004</v>
          </cell>
          <cell r="C4">
            <v>34033</v>
          </cell>
        </row>
        <row r="5">
          <cell r="B5">
            <v>517957526.38</v>
          </cell>
          <cell r="C5">
            <v>33430</v>
          </cell>
        </row>
        <row r="6">
          <cell r="B6">
            <v>25878880.489999998</v>
          </cell>
        </row>
        <row r="7">
          <cell r="B7">
            <v>24176414.859999999</v>
          </cell>
        </row>
        <row r="8">
          <cell r="B8">
            <v>516747347.72000003</v>
          </cell>
        </row>
        <row r="9">
          <cell r="B9">
            <v>493781111.51999998</v>
          </cell>
        </row>
        <row r="15">
          <cell r="B15">
            <v>96</v>
          </cell>
          <cell r="C15">
            <v>1807121.84</v>
          </cell>
          <cell r="D15">
            <v>3.4889382776807139E-3</v>
          </cell>
        </row>
        <row r="16">
          <cell r="B16">
            <v>27</v>
          </cell>
          <cell r="C16">
            <v>592663.47</v>
          </cell>
          <cell r="D16">
            <v>1.144231794722859E-3</v>
          </cell>
        </row>
        <row r="17">
          <cell r="B17">
            <v>5</v>
          </cell>
          <cell r="C17">
            <v>69219.37</v>
          </cell>
          <cell r="D17">
            <v>1.3363908520409672E-4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7</v>
          </cell>
          <cell r="C19">
            <v>134471.13</v>
          </cell>
        </row>
        <row r="20">
          <cell r="C20">
            <v>2634802.42</v>
          </cell>
        </row>
        <row r="22">
          <cell r="B22">
            <v>8.1893139999999998E-4</v>
          </cell>
          <cell r="C22">
            <v>8.7192789999999997E-4</v>
          </cell>
        </row>
        <row r="23">
          <cell r="B23">
            <v>8.3498890000000003E-4</v>
          </cell>
          <cell r="C23">
            <v>8.4096439999999995E-4</v>
          </cell>
        </row>
        <row r="24">
          <cell r="B24">
            <v>8.8149739999999999E-4</v>
          </cell>
          <cell r="C24">
            <v>1.19692E-3</v>
          </cell>
        </row>
        <row r="27">
          <cell r="C27">
            <v>710425.06</v>
          </cell>
        </row>
        <row r="32">
          <cell r="B32">
            <v>91</v>
          </cell>
          <cell r="C32">
            <v>1833869.93</v>
          </cell>
        </row>
      </sheetData>
      <sheetData sheetId="12">
        <row r="6">
          <cell r="B6">
            <v>1424890.57</v>
          </cell>
        </row>
        <row r="14">
          <cell r="B14">
            <v>24534230.699999999</v>
          </cell>
        </row>
        <row r="16">
          <cell r="B16">
            <v>209266.34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3.0591746699999998E-2</v>
          </cell>
        </row>
        <row r="32">
          <cell r="B32">
            <v>38.782342999999997</v>
          </cell>
        </row>
        <row r="34">
          <cell r="B34">
            <v>7.4379000000000001E-5</v>
          </cell>
        </row>
        <row r="35">
          <cell r="B35">
            <v>-2.4168312E-3</v>
          </cell>
        </row>
        <row r="36">
          <cell r="B36">
            <v>3.3347328999999998E-3</v>
          </cell>
        </row>
      </sheetData>
      <sheetData sheetId="13">
        <row r="4">
          <cell r="B4">
            <v>10471378.5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10471378.5</v>
          </cell>
        </row>
        <row r="8">
          <cell r="B8">
            <v>10471378.5</v>
          </cell>
        </row>
      </sheetData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26168387.609999999</v>
          </cell>
          <cell r="D7">
            <v>10471378.5</v>
          </cell>
        </row>
        <row r="9">
          <cell r="B9">
            <v>0</v>
          </cell>
          <cell r="C9">
            <v>0</v>
          </cell>
        </row>
        <row r="10">
          <cell r="B10">
            <v>452188.52350833337</v>
          </cell>
          <cell r="C10">
            <v>452188.52350833337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442300.92</v>
          </cell>
        </row>
        <row r="17">
          <cell r="C17">
            <v>120416.67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22966236.200000048</v>
          </cell>
        </row>
        <row r="22">
          <cell r="C22">
            <v>0</v>
          </cell>
        </row>
        <row r="23">
          <cell r="C23">
            <v>0</v>
          </cell>
        </row>
      </sheetData>
      <sheetData sheetId="16">
        <row r="1">
          <cell r="S1">
            <v>1</v>
          </cell>
        </row>
        <row r="4">
          <cell r="B4">
            <v>162000000</v>
          </cell>
          <cell r="C4">
            <v>0</v>
          </cell>
          <cell r="F4">
            <v>9.7792999999999995E-3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352000000</v>
          </cell>
          <cell r="C5">
            <v>0</v>
          </cell>
          <cell r="F5">
            <v>1.4500000000000001E-2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B6">
            <v>0</v>
          </cell>
          <cell r="C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401000000</v>
          </cell>
          <cell r="C7">
            <v>384609497.52999997</v>
          </cell>
          <cell r="F7">
            <v>1.38E-2</v>
          </cell>
          <cell r="H7">
            <v>442300.92</v>
          </cell>
          <cell r="I7">
            <v>0</v>
          </cell>
          <cell r="J7">
            <v>0</v>
          </cell>
          <cell r="K7">
            <v>442300.92</v>
          </cell>
          <cell r="L7">
            <v>0</v>
          </cell>
          <cell r="M7">
            <v>0</v>
          </cell>
          <cell r="N7">
            <v>22966236.200000048</v>
          </cell>
          <cell r="O7">
            <v>0</v>
          </cell>
          <cell r="P7">
            <v>361643261.32999992</v>
          </cell>
        </row>
        <row r="8">
          <cell r="B8">
            <v>85000000</v>
          </cell>
          <cell r="C8">
            <v>85000000</v>
          </cell>
          <cell r="F8">
            <v>1.7000000000000001E-2</v>
          </cell>
          <cell r="H8">
            <v>120416.67</v>
          </cell>
          <cell r="I8">
            <v>0</v>
          </cell>
          <cell r="K8">
            <v>120416.67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85000000</v>
          </cell>
        </row>
        <row r="9">
          <cell r="B9">
            <v>47137850.189999998</v>
          </cell>
          <cell r="C9">
            <v>47137850.189999998</v>
          </cell>
          <cell r="M9">
            <v>0</v>
          </cell>
          <cell r="N9">
            <v>0</v>
          </cell>
          <cell r="O9">
            <v>0</v>
          </cell>
          <cell r="P9">
            <v>47137850.189999998</v>
          </cell>
        </row>
        <row r="15">
          <cell r="C15">
            <v>43950</v>
          </cell>
        </row>
        <row r="16">
          <cell r="C16">
            <v>43966</v>
          </cell>
        </row>
        <row r="17">
          <cell r="C17">
            <v>44515</v>
          </cell>
        </row>
        <row r="18">
          <cell r="C18">
            <v>44545</v>
          </cell>
        </row>
        <row r="19">
          <cell r="C19">
            <v>44500</v>
          </cell>
        </row>
        <row r="20">
          <cell r="C20">
            <v>44530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  <row r="30">
          <cell r="C30">
            <v>30</v>
          </cell>
        </row>
        <row r="31">
          <cell r="C31">
            <v>30</v>
          </cell>
        </row>
      </sheetData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517957526.38</v>
          </cell>
        </row>
        <row r="5">
          <cell r="B5">
            <v>493733887.80000001</v>
          </cell>
        </row>
        <row r="6">
          <cell r="B6">
            <v>24176414.859999999</v>
          </cell>
        </row>
        <row r="7">
          <cell r="B7">
            <v>22515568.43</v>
          </cell>
        </row>
        <row r="8">
          <cell r="B8">
            <v>493781111.51999998</v>
          </cell>
        </row>
        <row r="9">
          <cell r="B9">
            <v>471218319.37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25383127.150000002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361643261.32999998</v>
          </cell>
          <cell r="P7">
            <v>339080469.18000001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44545</v>
          </cell>
        </row>
        <row r="18">
          <cell r="C18">
            <v>44579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622885591.83000004</v>
          </cell>
        </row>
        <row r="5">
          <cell r="B5">
            <v>594021025.89999998</v>
          </cell>
        </row>
        <row r="6">
          <cell r="B6">
            <v>31527913.420000002</v>
          </cell>
        </row>
        <row r="7">
          <cell r="B7">
            <v>29498944.559999999</v>
          </cell>
        </row>
        <row r="8">
          <cell r="B8">
            <v>591357678.41000009</v>
          </cell>
        </row>
        <row r="9">
          <cell r="B9">
            <v>564522081.34000003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30479321.480000004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58219828.2200002</v>
          </cell>
          <cell r="P5">
            <v>31384231.150000148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805388242.72000003</v>
          </cell>
        </row>
        <row r="5">
          <cell r="B5">
            <v>778731341.27999997</v>
          </cell>
        </row>
        <row r="6">
          <cell r="B6">
            <v>45282833.670000002</v>
          </cell>
        </row>
        <row r="7">
          <cell r="B7">
            <v>43106914.009999998</v>
          </cell>
        </row>
        <row r="8">
          <cell r="B8">
            <v>760105409.05000007</v>
          </cell>
        </row>
        <row r="9">
          <cell r="B9">
            <v>735624427.26999998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28628363.310000002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226967558.86000001</v>
          </cell>
          <cell r="P5">
            <v>202486577.07999992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653034251.01999998</v>
          </cell>
        </row>
        <row r="5">
          <cell r="B5">
            <v>622885591.83000004</v>
          </cell>
        </row>
        <row r="6">
          <cell r="B6">
            <v>33664584.270000003</v>
          </cell>
        </row>
        <row r="7">
          <cell r="B7">
            <v>31527913.420000002</v>
          </cell>
        </row>
        <row r="8">
          <cell r="B8">
            <v>619369666.75</v>
          </cell>
        </row>
        <row r="9">
          <cell r="B9">
            <v>591357678.41000009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31790263.02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86231816.560000107</v>
          </cell>
          <cell r="P5">
            <v>58219828.220000193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683755159.41999996</v>
          </cell>
        </row>
        <row r="5">
          <cell r="B5">
            <v>653034251.01999998</v>
          </cell>
        </row>
        <row r="6">
          <cell r="B6">
            <v>35854928.210000001</v>
          </cell>
        </row>
        <row r="7">
          <cell r="B7">
            <v>33664584.270000003</v>
          </cell>
        </row>
        <row r="8">
          <cell r="B8">
            <v>647900231.20999992</v>
          </cell>
        </row>
        <row r="9">
          <cell r="B9">
            <v>619369666.75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32564333.640000001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114762381.02</v>
          </cell>
          <cell r="P5">
            <v>86231816.560000077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778731341.27999997</v>
          </cell>
        </row>
        <row r="5">
          <cell r="B5">
            <v>744953892.74000001</v>
          </cell>
        </row>
        <row r="6">
          <cell r="B6">
            <v>43106914.009999998</v>
          </cell>
        </row>
        <row r="7">
          <cell r="B7">
            <v>40489955.020000003</v>
          </cell>
        </row>
        <row r="8">
          <cell r="B8">
            <v>735624427.26999998</v>
          </cell>
        </row>
        <row r="9">
          <cell r="B9">
            <v>704463937.72000003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35773601.740000002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202486577.08000001</v>
          </cell>
          <cell r="P5">
            <v>171326087.53000006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713708819.29999995</v>
          </cell>
        </row>
        <row r="5">
          <cell r="B5">
            <v>683755159.41999996</v>
          </cell>
        </row>
        <row r="6">
          <cell r="B6">
            <v>38125892.140000001</v>
          </cell>
        </row>
        <row r="7">
          <cell r="B7">
            <v>35854928.210000001</v>
          </cell>
        </row>
        <row r="8">
          <cell r="B8">
            <v>675582927.15999997</v>
          </cell>
        </row>
        <row r="9">
          <cell r="B9">
            <v>647900231.20999992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31710846.779999997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142445076.97</v>
          </cell>
          <cell r="P5">
            <v>114762381.01999995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594021025.89999998</v>
          </cell>
        </row>
        <row r="5">
          <cell r="B5">
            <v>568032086.92999995</v>
          </cell>
        </row>
        <row r="6">
          <cell r="B6">
            <v>29498944.559999999</v>
          </cell>
        </row>
        <row r="7">
          <cell r="B7">
            <v>27628665.940000001</v>
          </cell>
        </row>
        <row r="8">
          <cell r="B8">
            <v>564522081.34000003</v>
          </cell>
        </row>
        <row r="9">
          <cell r="B9">
            <v>540403420.98999989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27632886.960000001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31384231.150000099</v>
          </cell>
          <cell r="P5">
            <v>7265570.799999956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44454</v>
          </cell>
        </row>
        <row r="18">
          <cell r="C18">
            <v>44484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835178010.88</v>
          </cell>
        </row>
        <row r="5">
          <cell r="B5">
            <v>805388242.72000003</v>
          </cell>
        </row>
        <row r="6">
          <cell r="B6">
            <v>47729633.880000003</v>
          </cell>
        </row>
        <row r="7">
          <cell r="B7">
            <v>45282833.670000002</v>
          </cell>
        </row>
        <row r="8">
          <cell r="B8">
            <v>787448377</v>
          </cell>
        </row>
        <row r="9">
          <cell r="B9">
            <v>760105409.05000007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31608693.600000001</v>
          </cell>
          <cell r="D7">
            <v>10471378.5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254310526.81</v>
          </cell>
          <cell r="P5">
            <v>226967558.86000007</v>
          </cell>
        </row>
        <row r="6">
          <cell r="C6">
            <v>0</v>
          </cell>
          <cell r="P6">
            <v>0</v>
          </cell>
        </row>
        <row r="7">
          <cell r="C7">
            <v>401000000</v>
          </cell>
          <cell r="P7">
            <v>401000000</v>
          </cell>
        </row>
        <row r="8">
          <cell r="C8">
            <v>85000000</v>
          </cell>
          <cell r="P8">
            <v>85000000</v>
          </cell>
        </row>
        <row r="9">
          <cell r="C9">
            <v>47137850.189999998</v>
          </cell>
          <cell r="P9">
            <v>47137850.189999998</v>
          </cell>
        </row>
        <row r="16">
          <cell r="C16">
            <v>43966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44301</v>
          </cell>
        </row>
        <row r="24">
          <cell r="C24">
            <v>44910</v>
          </cell>
        </row>
        <row r="26">
          <cell r="C26">
            <v>45642</v>
          </cell>
        </row>
        <row r="27">
          <cell r="C27">
            <v>46524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E17" sqref="E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44561</v>
      </c>
      <c r="C3" s="8" t="s">
        <v>2</v>
      </c>
      <c r="D3" s="3">
        <v>30</v>
      </c>
      <c r="E3" s="3" t="s">
        <v>3</v>
      </c>
      <c r="F3" s="9">
        <v>44531</v>
      </c>
      <c r="G3" s="3"/>
    </row>
    <row r="4" spans="1:13" ht="15.75" customHeight="1" x14ac:dyDescent="0.3">
      <c r="A4" s="2" t="s">
        <v>4</v>
      </c>
      <c r="B4" s="7">
        <v>44579</v>
      </c>
      <c r="C4" s="8" t="s">
        <v>5</v>
      </c>
      <c r="D4" s="10">
        <v>34</v>
      </c>
      <c r="E4" s="3" t="s">
        <v>6</v>
      </c>
      <c r="F4" s="9">
        <v>44561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517957526.38</v>
      </c>
      <c r="E10" s="23">
        <v>493733887.80000001</v>
      </c>
      <c r="F10" s="24">
        <v>0.47150801368741807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24176414.859999999</v>
      </c>
      <c r="E11" s="23">
        <v>22515568.43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493781111.51999998</v>
      </c>
      <c r="E12" s="23">
        <v>471218319.37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493781111.51999998</v>
      </c>
      <c r="E13" s="23">
        <v>471218319.37</v>
      </c>
      <c r="F13" s="24">
        <v>0.45000600377925298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361643261.32999998</v>
      </c>
      <c r="E17" s="23">
        <v>339080469.18000001</v>
      </c>
      <c r="F17" s="24">
        <v>0.84558720493765582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22562792.149999976</v>
      </c>
      <c r="C26" s="22">
        <v>415889.75</v>
      </c>
      <c r="D26" s="39">
        <v>56.266314588528616</v>
      </c>
      <c r="E26" s="40">
        <v>1.0371315461346633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22562792.149999976</v>
      </c>
      <c r="C29" s="42">
        <v>536306.42000000004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1345120.57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1345120.57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23926379.100000001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23926379.100000001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111627.48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25383127.150000002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33430</v>
      </c>
      <c r="E51" s="58">
        <v>493781111.51999998</v>
      </c>
      <c r="F51" s="53"/>
      <c r="G51" s="93"/>
    </row>
    <row r="52" spans="1:7" x14ac:dyDescent="0.25">
      <c r="A52" s="46" t="s">
        <v>44</v>
      </c>
      <c r="D52" s="65"/>
      <c r="E52" s="55">
        <v>22562792.149999976</v>
      </c>
      <c r="F52" s="53"/>
      <c r="G52" s="93"/>
    </row>
    <row r="53" spans="1:7" x14ac:dyDescent="0.25">
      <c r="A53" s="46"/>
      <c r="D53" s="66">
        <v>32769</v>
      </c>
      <c r="E53" s="67">
        <v>471218319.37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25383127.150000002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25383127.150000002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431631.27</v>
      </c>
      <c r="F64" s="53"/>
      <c r="G64" s="93"/>
    </row>
    <row r="65" spans="1:7" x14ac:dyDescent="0.25">
      <c r="A65" s="51" t="s">
        <v>51</v>
      </c>
      <c r="E65" s="68">
        <v>431631.27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415889.75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415889.75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536306.42000000004</v>
      </c>
      <c r="F110" s="53"/>
      <c r="G110" s="93"/>
    </row>
    <row r="111" spans="1:7" x14ac:dyDescent="0.25">
      <c r="A111" s="70" t="s">
        <v>86</v>
      </c>
      <c r="E111" s="69">
        <v>536306.42000000004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24415189.458016668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22562792.149999976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22562792.149999976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1852397.3080166914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1852397.3080166914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3.0616030299999999E-2</v>
      </c>
      <c r="F153" s="53"/>
      <c r="G153" s="93"/>
    </row>
    <row r="154" spans="1:256" x14ac:dyDescent="0.25">
      <c r="A154" s="46" t="s">
        <v>114</v>
      </c>
      <c r="E154" s="79">
        <v>37.875914000000002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297259.48</v>
      </c>
      <c r="E157" s="3">
        <v>15</v>
      </c>
      <c r="F157" s="80"/>
      <c r="G157" s="93"/>
    </row>
    <row r="158" spans="1:256" x14ac:dyDescent="0.25">
      <c r="A158" s="46" t="s">
        <v>116</v>
      </c>
      <c r="D158" s="74">
        <v>111627.48</v>
      </c>
      <c r="F158" s="53"/>
      <c r="G158" s="93"/>
    </row>
    <row r="159" spans="1:256" x14ac:dyDescent="0.25">
      <c r="A159" s="3" t="s">
        <v>117</v>
      </c>
      <c r="D159" s="26">
        <v>185632</v>
      </c>
    </row>
    <row r="160" spans="1:256" x14ac:dyDescent="0.25">
      <c r="A160" s="46" t="s">
        <v>118</v>
      </c>
      <c r="D160" s="69">
        <v>517957526.38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-2.4168312E-3</v>
      </c>
      <c r="F162" s="80"/>
      <c r="G162" s="93"/>
    </row>
    <row r="163" spans="1:7" x14ac:dyDescent="0.25">
      <c r="A163" s="46" t="s">
        <v>120</v>
      </c>
      <c r="D163" s="81">
        <v>3.3347328999999998E-3</v>
      </c>
      <c r="F163" s="80"/>
      <c r="G163" s="93"/>
    </row>
    <row r="164" spans="1:7" x14ac:dyDescent="0.25">
      <c r="A164" s="46" t="s">
        <v>121</v>
      </c>
      <c r="D164" s="81">
        <v>-1.6540713999999999E-3</v>
      </c>
      <c r="F164" s="80"/>
      <c r="G164" s="93"/>
    </row>
    <row r="165" spans="1:7" x14ac:dyDescent="0.25">
      <c r="A165" s="46" t="s">
        <v>122</v>
      </c>
      <c r="D165" s="81">
        <v>4.3007078506389559E-3</v>
      </c>
      <c r="F165" s="53"/>
      <c r="G165" s="93"/>
    </row>
    <row r="166" spans="1:7" x14ac:dyDescent="0.25">
      <c r="A166" s="46" t="s">
        <v>123</v>
      </c>
      <c r="D166" s="78">
        <v>8.9113453765973902E-4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2820434.42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2090445.71</v>
      </c>
      <c r="E171" s="83">
        <v>109</v>
      </c>
      <c r="F171" s="81">
        <v>4.2339522598189381E-3</v>
      </c>
      <c r="G171" s="93"/>
    </row>
    <row r="172" spans="1:7" x14ac:dyDescent="0.25">
      <c r="A172" s="51" t="s">
        <v>128</v>
      </c>
      <c r="D172" s="68">
        <v>486699.9</v>
      </c>
      <c r="E172" s="83">
        <v>25</v>
      </c>
      <c r="F172" s="81">
        <v>9.8575348386285106E-4</v>
      </c>
      <c r="G172" s="93"/>
    </row>
    <row r="173" spans="1:7" x14ac:dyDescent="0.25">
      <c r="A173" s="51" t="s">
        <v>129</v>
      </c>
      <c r="D173" s="23">
        <v>114847.95</v>
      </c>
      <c r="E173" s="84">
        <v>7</v>
      </c>
      <c r="F173" s="81">
        <v>2.326110336718921E-4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2691993.56</v>
      </c>
      <c r="E175" s="83">
        <v>141</v>
      </c>
      <c r="F175" s="89">
        <v>5.4523167773536819E-3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8.4096439999999995E-4</v>
      </c>
      <c r="E178" s="81">
        <v>8.3498890000000003E-4</v>
      </c>
      <c r="F178" s="80"/>
      <c r="G178" s="93"/>
    </row>
    <row r="179" spans="1:7" x14ac:dyDescent="0.25">
      <c r="A179" s="46" t="s">
        <v>134</v>
      </c>
      <c r="D179" s="81">
        <v>1.19692E-3</v>
      </c>
      <c r="E179" s="81">
        <v>8.8149739999999999E-4</v>
      </c>
      <c r="F179" s="80"/>
      <c r="G179" s="93"/>
    </row>
    <row r="180" spans="1:7" x14ac:dyDescent="0.25">
      <c r="A180" s="46" t="s">
        <v>135</v>
      </c>
      <c r="D180" s="81">
        <v>1.2778709000000001E-3</v>
      </c>
      <c r="E180" s="81">
        <v>9.5722410000000004E-4</v>
      </c>
      <c r="F180" s="80"/>
      <c r="G180" s="93"/>
    </row>
    <row r="181" spans="1:7" x14ac:dyDescent="0.25">
      <c r="A181" s="46" t="s">
        <v>136</v>
      </c>
      <c r="D181" s="81">
        <v>1.2183645175347431E-3</v>
      </c>
      <c r="E181" s="81">
        <v>9.7653269858707925E-4</v>
      </c>
      <c r="F181" s="53"/>
      <c r="G181" s="93"/>
    </row>
    <row r="182" spans="1:7" x14ac:dyDescent="0.25">
      <c r="A182" s="46" t="s">
        <v>137</v>
      </c>
      <c r="D182" s="81">
        <v>1.1335299543836857E-3</v>
      </c>
      <c r="E182" s="81">
        <v>9.1256077464676988E-4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622124.38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1.2600398623073812E-3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1869045.09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89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D16" sqref="D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3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44301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778731341.27999997</v>
      </c>
      <c r="E10" s="23">
        <v>744953892.74000001</v>
      </c>
      <c r="F10" s="24">
        <v>0.7114191246213003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43106914.009999998</v>
      </c>
      <c r="E11" s="23">
        <v>40489955.020000003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735624427.26999998</v>
      </c>
      <c r="E12" s="23">
        <v>704463937.72000003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735624427.26999998</v>
      </c>
      <c r="E13" s="23">
        <v>704463937.72000003</v>
      </c>
      <c r="F13" s="24">
        <v>0.67275186126848263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202486577.08000001</v>
      </c>
      <c r="E15" s="23">
        <v>171326087.53000006</v>
      </c>
      <c r="F15" s="24">
        <v>0.48672183957386383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31160489.549999956</v>
      </c>
      <c r="C24" s="22">
        <v>244671.28</v>
      </c>
      <c r="D24" s="39">
        <v>88.524118039772603</v>
      </c>
      <c r="E24" s="40">
        <v>0.69508886363636369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31160489.549999956</v>
      </c>
      <c r="C29" s="42">
        <v>826237.95000000007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2106895.56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2106895.56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33408996.149999999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33408996.149999999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257710.03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35773601.740000002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41537</v>
      </c>
      <c r="E51" s="58">
        <v>735624427.26999998</v>
      </c>
      <c r="F51" s="53"/>
      <c r="G51" s="93"/>
    </row>
    <row r="52" spans="1:7" x14ac:dyDescent="0.25">
      <c r="A52" s="46" t="s">
        <v>44</v>
      </c>
      <c r="D52" s="65"/>
      <c r="E52" s="55">
        <v>31160489.549999952</v>
      </c>
      <c r="F52" s="53"/>
      <c r="G52" s="93"/>
    </row>
    <row r="53" spans="1:7" x14ac:dyDescent="0.25">
      <c r="A53" s="46"/>
      <c r="D53" s="66">
        <v>40137</v>
      </c>
      <c r="E53" s="67">
        <v>704463937.72000003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35773601.740000002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35773601.740000002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648942.78</v>
      </c>
      <c r="F64" s="53"/>
      <c r="G64" s="93"/>
    </row>
    <row r="65" spans="1:7" x14ac:dyDescent="0.25">
      <c r="A65" s="51" t="s">
        <v>51</v>
      </c>
      <c r="E65" s="68">
        <v>648942.78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244671.28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244671.28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461150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461150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826237.95000000007</v>
      </c>
      <c r="F110" s="53"/>
      <c r="G110" s="93"/>
    </row>
    <row r="111" spans="1:7" x14ac:dyDescent="0.25">
      <c r="A111" s="70" t="s">
        <v>86</v>
      </c>
      <c r="E111" s="69">
        <v>826237.95000000007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34298421.005600005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31160489.549999956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31160489.549999956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3137931.4556000456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3137931.4556000456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3.0917296E-2</v>
      </c>
      <c r="F153" s="53"/>
      <c r="G153" s="93"/>
    </row>
    <row r="154" spans="1:256" x14ac:dyDescent="0.25">
      <c r="A154" s="46" t="s">
        <v>114</v>
      </c>
      <c r="E154" s="79">
        <v>46.061314000000003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368452.39</v>
      </c>
      <c r="E157" s="3">
        <v>17</v>
      </c>
      <c r="F157" s="80"/>
      <c r="G157" s="93"/>
    </row>
    <row r="158" spans="1:256" x14ac:dyDescent="0.25">
      <c r="A158" s="46" t="s">
        <v>116</v>
      </c>
      <c r="D158" s="74">
        <v>257710.03</v>
      </c>
      <c r="F158" s="53"/>
      <c r="G158" s="93"/>
    </row>
    <row r="159" spans="1:256" x14ac:dyDescent="0.25">
      <c r="A159" s="3" t="s">
        <v>117</v>
      </c>
      <c r="D159" s="26">
        <v>110742.36000000002</v>
      </c>
    </row>
    <row r="160" spans="1:256" x14ac:dyDescent="0.25">
      <c r="A160" s="46" t="s">
        <v>118</v>
      </c>
      <c r="D160" s="69">
        <v>778731341.27999997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6.0210704999999996E-3</v>
      </c>
      <c r="F162" s="80"/>
      <c r="G162" s="93"/>
    </row>
    <row r="163" spans="1:7" x14ac:dyDescent="0.25">
      <c r="A163" s="46" t="s">
        <v>120</v>
      </c>
      <c r="D163" s="81">
        <v>4.7332095000000001E-3</v>
      </c>
      <c r="F163" s="80"/>
      <c r="G163" s="93"/>
    </row>
    <row r="164" spans="1:7" x14ac:dyDescent="0.25">
      <c r="A164" s="46" t="s">
        <v>121</v>
      </c>
      <c r="D164" s="81">
        <v>-4.1955300000000003E-4</v>
      </c>
      <c r="F164" s="80"/>
      <c r="G164" s="93"/>
    </row>
    <row r="165" spans="1:7" x14ac:dyDescent="0.25">
      <c r="A165" s="46" t="s">
        <v>122</v>
      </c>
      <c r="D165" s="81">
        <v>1.7065042198194757E-3</v>
      </c>
      <c r="F165" s="53"/>
      <c r="G165" s="93"/>
    </row>
    <row r="166" spans="1:7" x14ac:dyDescent="0.25">
      <c r="A166" s="46" t="s">
        <v>123</v>
      </c>
      <c r="D166" s="78">
        <v>3.0103078049548691E-3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2593032.8400000003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1772629.19</v>
      </c>
      <c r="E171" s="83">
        <v>90</v>
      </c>
      <c r="F171" s="81">
        <v>2.379515305947497E-3</v>
      </c>
      <c r="G171" s="93"/>
    </row>
    <row r="172" spans="1:7" x14ac:dyDescent="0.25">
      <c r="A172" s="51" t="s">
        <v>128</v>
      </c>
      <c r="D172" s="68">
        <v>358965.57</v>
      </c>
      <c r="E172" s="83">
        <v>18</v>
      </c>
      <c r="F172" s="81">
        <v>4.8186280184360931E-4</v>
      </c>
      <c r="G172" s="93"/>
    </row>
    <row r="173" spans="1:7" x14ac:dyDescent="0.25">
      <c r="A173" s="51" t="s">
        <v>129</v>
      </c>
      <c r="D173" s="23">
        <v>199649.65</v>
      </c>
      <c r="E173" s="84">
        <v>6</v>
      </c>
      <c r="F173" s="81">
        <v>2.6800269378507793E-4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2331244.4099999997</v>
      </c>
      <c r="E175" s="83">
        <v>114</v>
      </c>
      <c r="F175" s="89">
        <v>3.1293808015761841E-3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1.0422113E-3</v>
      </c>
      <c r="E178" s="81">
        <v>1.063338E-3</v>
      </c>
      <c r="F178" s="80"/>
      <c r="G178" s="93"/>
    </row>
    <row r="179" spans="1:7" x14ac:dyDescent="0.25">
      <c r="A179" s="46" t="s">
        <v>134</v>
      </c>
      <c r="D179" s="81">
        <v>8.9801119999999995E-4</v>
      </c>
      <c r="E179" s="81">
        <v>9.4210750000000003E-4</v>
      </c>
      <c r="F179" s="80"/>
      <c r="G179" s="93"/>
    </row>
    <row r="180" spans="1:7" x14ac:dyDescent="0.25">
      <c r="A180" s="46" t="s">
        <v>135</v>
      </c>
      <c r="D180" s="81">
        <v>1.0693663000000001E-3</v>
      </c>
      <c r="E180" s="81">
        <v>9.6299679999999998E-4</v>
      </c>
      <c r="F180" s="80"/>
      <c r="G180" s="93"/>
    </row>
    <row r="181" spans="1:7" x14ac:dyDescent="0.25">
      <c r="A181" s="46" t="s">
        <v>136</v>
      </c>
      <c r="D181" s="81">
        <v>7.4986549562868713E-4</v>
      </c>
      <c r="E181" s="81">
        <v>5.9795201435084832E-4</v>
      </c>
      <c r="F181" s="53"/>
      <c r="G181" s="93"/>
    </row>
    <row r="182" spans="1:7" x14ac:dyDescent="0.25">
      <c r="A182" s="46" t="s">
        <v>137</v>
      </c>
      <c r="D182" s="81">
        <v>9.3986357390717177E-4</v>
      </c>
      <c r="E182" s="81">
        <v>8.9159857858771209E-4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558615.22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7.4986549562868713E-4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2035244.21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93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3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805388242.72000003</v>
      </c>
      <c r="E10" s="23">
        <v>778731341.27999997</v>
      </c>
      <c r="F10" s="24">
        <v>0.74367605099815803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45282833.670000002</v>
      </c>
      <c r="E11" s="23">
        <v>43106914.009999998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760105409.05000007</v>
      </c>
      <c r="E12" s="23">
        <v>735624427.26999998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760105409.04999995</v>
      </c>
      <c r="E13" s="23">
        <v>735624427.26999998</v>
      </c>
      <c r="F13" s="24">
        <v>0.70250963341313954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226967558.86000001</v>
      </c>
      <c r="E15" s="23">
        <v>202486577.07999992</v>
      </c>
      <c r="F15" s="24">
        <v>0.57524595761363617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24480981.780000091</v>
      </c>
      <c r="C24" s="22">
        <v>274252.46999999997</v>
      </c>
      <c r="D24" s="39">
        <v>69.548243693182073</v>
      </c>
      <c r="E24" s="40">
        <v>0.77912633522727259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24480981.780000091</v>
      </c>
      <c r="C29" s="42">
        <v>855819.14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1943303.28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1943303.28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26444895.800000001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26444895.800000001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240164.23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28628363.310000002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42458</v>
      </c>
      <c r="E51" s="58">
        <v>760105409.05000007</v>
      </c>
      <c r="F51" s="53"/>
      <c r="G51" s="93"/>
    </row>
    <row r="52" spans="1:7" x14ac:dyDescent="0.25">
      <c r="A52" s="46" t="s">
        <v>44</v>
      </c>
      <c r="D52" s="65"/>
      <c r="E52" s="55">
        <v>24480981.780000091</v>
      </c>
      <c r="F52" s="53"/>
      <c r="G52" s="93"/>
    </row>
    <row r="53" spans="1:7" x14ac:dyDescent="0.25">
      <c r="A53" s="46"/>
      <c r="D53" s="66">
        <v>41537</v>
      </c>
      <c r="E53" s="67">
        <v>735624427.26999998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28628363.310000002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28628363.310000002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671156.87</v>
      </c>
      <c r="F64" s="53"/>
      <c r="G64" s="93"/>
    </row>
    <row r="65" spans="1:7" x14ac:dyDescent="0.25">
      <c r="A65" s="51" t="s">
        <v>51</v>
      </c>
      <c r="E65" s="68">
        <v>671156.87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274252.46999999997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274252.46999999997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461150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461150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855819.14</v>
      </c>
      <c r="F110" s="53"/>
      <c r="G110" s="93"/>
    </row>
    <row r="111" spans="1:7" x14ac:dyDescent="0.25">
      <c r="A111" s="70" t="s">
        <v>86</v>
      </c>
      <c r="E111" s="69">
        <v>855819.14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27101387.301066671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24480981.780000091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24480981.780000091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2620405.52106658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2620405.52106658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3.0966329899999999E-2</v>
      </c>
      <c r="F153" s="53"/>
      <c r="G153" s="93"/>
    </row>
    <row r="154" spans="1:256" x14ac:dyDescent="0.25">
      <c r="A154" s="46" t="s">
        <v>114</v>
      </c>
      <c r="E154" s="79">
        <v>47.051071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212005.64</v>
      </c>
      <c r="E157" s="3">
        <v>13</v>
      </c>
      <c r="F157" s="80"/>
      <c r="G157" s="93"/>
    </row>
    <row r="158" spans="1:256" x14ac:dyDescent="0.25">
      <c r="A158" s="46" t="s">
        <v>116</v>
      </c>
      <c r="D158" s="74">
        <v>240164.23</v>
      </c>
      <c r="F158" s="53"/>
      <c r="G158" s="93"/>
    </row>
    <row r="159" spans="1:256" x14ac:dyDescent="0.25">
      <c r="A159" s="3" t="s">
        <v>117</v>
      </c>
      <c r="D159" s="26">
        <v>-28158.589999999997</v>
      </c>
    </row>
    <row r="160" spans="1:256" x14ac:dyDescent="0.25">
      <c r="A160" s="46" t="s">
        <v>118</v>
      </c>
      <c r="D160" s="69">
        <v>805388242.72000003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2.2414552999999999E-3</v>
      </c>
      <c r="F162" s="80"/>
      <c r="G162" s="93"/>
    </row>
    <row r="163" spans="1:7" x14ac:dyDescent="0.25">
      <c r="A163" s="46" t="s">
        <v>120</v>
      </c>
      <c r="D163" s="81">
        <v>6.0210704999999996E-3</v>
      </c>
      <c r="F163" s="80"/>
      <c r="G163" s="93"/>
    </row>
    <row r="164" spans="1:7" x14ac:dyDescent="0.25">
      <c r="A164" s="46" t="s">
        <v>121</v>
      </c>
      <c r="D164" s="81">
        <v>4.7332095000000001E-3</v>
      </c>
      <c r="F164" s="80"/>
      <c r="G164" s="93"/>
    </row>
    <row r="165" spans="1:7" x14ac:dyDescent="0.25">
      <c r="A165" s="46" t="s">
        <v>122</v>
      </c>
      <c r="D165" s="81">
        <v>-4.1955303303015167E-4</v>
      </c>
      <c r="F165" s="53"/>
      <c r="G165" s="93"/>
    </row>
    <row r="166" spans="1:7" x14ac:dyDescent="0.25">
      <c r="A166" s="46" t="s">
        <v>123</v>
      </c>
      <c r="D166" s="78">
        <v>3.1440455667424622E-3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2482290.48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2252477.56</v>
      </c>
      <c r="E171" s="83">
        <v>103</v>
      </c>
      <c r="F171" s="81">
        <v>2.8924963470683034E-3</v>
      </c>
      <c r="G171" s="93"/>
    </row>
    <row r="172" spans="1:7" x14ac:dyDescent="0.25">
      <c r="A172" s="51" t="s">
        <v>128</v>
      </c>
      <c r="D172" s="68">
        <v>664120.34</v>
      </c>
      <c r="E172" s="83">
        <v>31</v>
      </c>
      <c r="F172" s="81">
        <v>8.5282343832262608E-4</v>
      </c>
      <c r="G172" s="93"/>
    </row>
    <row r="173" spans="1:7" x14ac:dyDescent="0.25">
      <c r="A173" s="51" t="s">
        <v>129</v>
      </c>
      <c r="D173" s="23">
        <v>168628.72</v>
      </c>
      <c r="E173" s="84">
        <v>9</v>
      </c>
      <c r="F173" s="81">
        <v>2.1654287051401467E-4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3085226.62</v>
      </c>
      <c r="E175" s="83">
        <v>143</v>
      </c>
      <c r="F175" s="89">
        <v>3.9618626559049441E-3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1.1901599E-3</v>
      </c>
      <c r="E178" s="81">
        <v>1.1802624E-3</v>
      </c>
      <c r="F178" s="80"/>
      <c r="G178" s="93"/>
    </row>
    <row r="179" spans="1:7" x14ac:dyDescent="0.25">
      <c r="A179" s="46" t="s">
        <v>134</v>
      </c>
      <c r="D179" s="81">
        <v>1.0422113E-3</v>
      </c>
      <c r="E179" s="81">
        <v>1.063338E-3</v>
      </c>
      <c r="F179" s="80"/>
      <c r="G179" s="93"/>
    </row>
    <row r="180" spans="1:7" x14ac:dyDescent="0.25">
      <c r="A180" s="46" t="s">
        <v>135</v>
      </c>
      <c r="D180" s="81">
        <v>8.9801119999999995E-4</v>
      </c>
      <c r="E180" s="81">
        <v>9.4210750000000003E-4</v>
      </c>
      <c r="F180" s="80"/>
      <c r="G180" s="93"/>
    </row>
    <row r="181" spans="1:7" x14ac:dyDescent="0.25">
      <c r="A181" s="46" t="s">
        <v>136</v>
      </c>
      <c r="D181" s="81">
        <v>1.0693663088366407E-3</v>
      </c>
      <c r="E181" s="81">
        <v>9.6299684618532876E-4</v>
      </c>
      <c r="F181" s="53"/>
      <c r="G181" s="93"/>
    </row>
    <row r="182" spans="1:7" x14ac:dyDescent="0.25">
      <c r="A182" s="46" t="s">
        <v>137</v>
      </c>
      <c r="D182" s="81">
        <v>1.04993717720916E-3</v>
      </c>
      <c r="E182" s="81">
        <v>1.0371761865463323E-3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832749.06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1.0693663088366409E-3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3013005.01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125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3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44243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1119632940.8099999</v>
      </c>
      <c r="D10" s="22">
        <v>835178010.88</v>
      </c>
      <c r="E10" s="23">
        <v>805388242.72000003</v>
      </c>
      <c r="F10" s="24">
        <v>0.76913296809380427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72495090.620000005</v>
      </c>
      <c r="D11" s="22">
        <v>47729633.880000003</v>
      </c>
      <c r="E11" s="23">
        <v>45282833.670000002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1047137850.1899999</v>
      </c>
      <c r="D12" s="22">
        <v>787448377</v>
      </c>
      <c r="E12" s="23">
        <v>760105409.05000007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1047137850.1900001</v>
      </c>
      <c r="D13" s="22">
        <v>787448377</v>
      </c>
      <c r="E13" s="23">
        <v>760105409.05000019</v>
      </c>
      <c r="F13" s="24">
        <v>0.72588858182528815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27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27">
        <v>352000000</v>
      </c>
      <c r="D15" s="22">
        <v>254310526.81</v>
      </c>
      <c r="E15" s="23">
        <v>226967558.86000007</v>
      </c>
      <c r="F15" s="24">
        <v>0.64479420130681842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27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27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27342967.949999925</v>
      </c>
      <c r="C24" s="22">
        <v>307291.89</v>
      </c>
      <c r="D24" s="39">
        <v>77.678886221590702</v>
      </c>
      <c r="E24" s="40">
        <v>0.87298832386363645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27342967.949999925</v>
      </c>
      <c r="C29" s="42">
        <v>888858.56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2148348.15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2148348.15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29262523.260000002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29262523.260000002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197822.19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31608693.600000001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43260</v>
      </c>
      <c r="E51" s="58">
        <v>787448377</v>
      </c>
      <c r="F51" s="53"/>
      <c r="G51" s="54"/>
    </row>
    <row r="52" spans="1:7" x14ac:dyDescent="0.25">
      <c r="A52" s="46" t="s">
        <v>44</v>
      </c>
      <c r="D52" s="65"/>
      <c r="E52" s="55">
        <v>27342967.949999928</v>
      </c>
      <c r="F52" s="53"/>
      <c r="G52" s="54"/>
    </row>
    <row r="53" spans="1:7" x14ac:dyDescent="0.25">
      <c r="A53" s="46"/>
      <c r="D53" s="66">
        <v>42458</v>
      </c>
      <c r="E53" s="67">
        <v>760105409.05000007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31608693.600000001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31608693.600000001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695981.68</v>
      </c>
      <c r="F64" s="53"/>
      <c r="G64" s="54"/>
    </row>
    <row r="65" spans="1:7" x14ac:dyDescent="0.25">
      <c r="A65" s="51" t="s">
        <v>51</v>
      </c>
      <c r="E65" s="68">
        <v>695981.68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307291.89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307291.89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461150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461150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120416.67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120416.67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888858.56</v>
      </c>
      <c r="F110" s="53"/>
      <c r="G110" s="54"/>
    </row>
    <row r="111" spans="1:7" x14ac:dyDescent="0.25">
      <c r="A111" s="70" t="s">
        <v>86</v>
      </c>
      <c r="E111" s="69">
        <v>888858.56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30023853.364266668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27342967.949999925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27342967.949999925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2680885.4142667428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2680885.4142667428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10471378.5</v>
      </c>
      <c r="F143" s="53"/>
      <c r="G143" s="54"/>
    </row>
    <row r="144" spans="1:7" x14ac:dyDescent="0.25">
      <c r="A144" s="46" t="s">
        <v>107</v>
      </c>
      <c r="E144" s="69">
        <v>10471378.5</v>
      </c>
      <c r="F144" s="75"/>
      <c r="G144" s="54"/>
    </row>
    <row r="145" spans="1:256" x14ac:dyDescent="0.25">
      <c r="A145" s="46" t="s">
        <v>108</v>
      </c>
      <c r="E145" s="68">
        <v>10471378.5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10471378.5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3.0979543299999999E-2</v>
      </c>
      <c r="F153" s="53"/>
      <c r="G153" s="54"/>
    </row>
    <row r="154" spans="1:256" x14ac:dyDescent="0.25">
      <c r="A154" s="46" t="s">
        <v>114</v>
      </c>
      <c r="E154" s="79">
        <v>47.864663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527244.9</v>
      </c>
      <c r="E157" s="3">
        <v>27</v>
      </c>
      <c r="F157" s="80"/>
      <c r="G157" s="54"/>
    </row>
    <row r="158" spans="1:256" x14ac:dyDescent="0.25">
      <c r="A158" s="46" t="s">
        <v>116</v>
      </c>
      <c r="D158" s="74">
        <v>197822.19</v>
      </c>
      <c r="F158" s="53"/>
      <c r="G158" s="54"/>
    </row>
    <row r="159" spans="1:256" x14ac:dyDescent="0.25">
      <c r="A159" s="3" t="s">
        <v>117</v>
      </c>
      <c r="D159" s="26">
        <v>329422.71000000002</v>
      </c>
    </row>
    <row r="160" spans="1:256" x14ac:dyDescent="0.25">
      <c r="A160" s="46" t="s">
        <v>118</v>
      </c>
      <c r="D160" s="69">
        <v>835178010.88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1.4864307E-3</v>
      </c>
      <c r="F162" s="80"/>
      <c r="G162" s="54"/>
    </row>
    <row r="163" spans="1:7" x14ac:dyDescent="0.25">
      <c r="A163" s="46" t="s">
        <v>120</v>
      </c>
      <c r="D163" s="81">
        <v>2.2414552999999999E-3</v>
      </c>
      <c r="F163" s="80"/>
      <c r="G163" s="54"/>
    </row>
    <row r="164" spans="1:7" x14ac:dyDescent="0.25">
      <c r="A164" s="46" t="s">
        <v>121</v>
      </c>
      <c r="D164" s="81">
        <v>6.0210704999999996E-3</v>
      </c>
      <c r="F164" s="80"/>
      <c r="G164" s="54"/>
    </row>
    <row r="165" spans="1:7" x14ac:dyDescent="0.25">
      <c r="A165" s="46" t="s">
        <v>122</v>
      </c>
      <c r="D165" s="81">
        <v>4.7332095295885201E-3</v>
      </c>
      <c r="F165" s="53"/>
      <c r="G165" s="54"/>
    </row>
    <row r="166" spans="1:7" x14ac:dyDescent="0.25">
      <c r="A166" s="46" t="s">
        <v>123</v>
      </c>
      <c r="D166" s="78">
        <v>3.6205415073971301E-3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2510449.0699999998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2373655.09</v>
      </c>
      <c r="E171" s="83">
        <v>101</v>
      </c>
      <c r="F171" s="81">
        <v>2.9472184520394355E-3</v>
      </c>
      <c r="G171" s="54"/>
    </row>
    <row r="172" spans="1:7" x14ac:dyDescent="0.25">
      <c r="A172" s="51" t="s">
        <v>128</v>
      </c>
      <c r="D172" s="68">
        <v>650460.89</v>
      </c>
      <c r="E172" s="83">
        <v>31</v>
      </c>
      <c r="F172" s="81">
        <v>8.0763643606619946E-4</v>
      </c>
      <c r="G172" s="54"/>
    </row>
    <row r="173" spans="1:7" x14ac:dyDescent="0.25">
      <c r="A173" s="51" t="s">
        <v>129</v>
      </c>
      <c r="D173" s="23">
        <v>72786.77</v>
      </c>
      <c r="E173" s="84">
        <v>9</v>
      </c>
      <c r="F173" s="81">
        <v>9.0374761064527899E-5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3096902.75</v>
      </c>
      <c r="E175" s="83">
        <v>141</v>
      </c>
      <c r="F175" s="89">
        <v>3.8452296491701633E-3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8.2807979999999996E-4</v>
      </c>
      <c r="E178" s="81">
        <v>8.2418189999999998E-4</v>
      </c>
      <c r="F178" s="80"/>
      <c r="G178" s="54"/>
    </row>
    <row r="179" spans="1:7" x14ac:dyDescent="0.25">
      <c r="A179" s="46" t="s">
        <v>134</v>
      </c>
      <c r="D179" s="81">
        <v>1.1901599E-3</v>
      </c>
      <c r="E179" s="81">
        <v>1.1802624E-3</v>
      </c>
      <c r="F179" s="80"/>
      <c r="G179" s="54"/>
    </row>
    <row r="180" spans="1:7" x14ac:dyDescent="0.25">
      <c r="A180" s="46" t="s">
        <v>135</v>
      </c>
      <c r="D180" s="81">
        <v>1.0422113E-3</v>
      </c>
      <c r="E180" s="81">
        <v>1.063338E-3</v>
      </c>
      <c r="F180" s="80"/>
      <c r="G180" s="54"/>
    </row>
    <row r="181" spans="1:7" x14ac:dyDescent="0.25">
      <c r="A181" s="46" t="s">
        <v>136</v>
      </c>
      <c r="D181" s="81">
        <v>8.9801119713072731E-4</v>
      </c>
      <c r="E181" s="81">
        <v>9.4210749446511845E-4</v>
      </c>
      <c r="F181" s="53"/>
      <c r="G181" s="54"/>
    </row>
    <row r="182" spans="1:7" x14ac:dyDescent="0.25">
      <c r="A182" s="46" t="s">
        <v>137</v>
      </c>
      <c r="D182" s="81">
        <v>9.8961554928268195E-4</v>
      </c>
      <c r="E182" s="81">
        <v>1.0024724486162797E-3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845007.99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1.049193351949358E-3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3891320.08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158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f>[11]Notes!C20</f>
        <v>44530</v>
      </c>
      <c r="C3" s="8" t="s">
        <v>2</v>
      </c>
      <c r="D3" s="3">
        <f>[11]Notes!C30</f>
        <v>30</v>
      </c>
      <c r="E3" s="3" t="s">
        <v>3</v>
      </c>
      <c r="F3" s="9">
        <f>[11]Notes!C19+1</f>
        <v>44501</v>
      </c>
      <c r="G3" s="3"/>
    </row>
    <row r="4" spans="1:13" ht="15.75" customHeight="1" x14ac:dyDescent="0.3">
      <c r="A4" s="2" t="s">
        <v>4</v>
      </c>
      <c r="B4" s="7">
        <f>Curr_DistDate</f>
        <v>44545</v>
      </c>
      <c r="C4" s="8" t="s">
        <v>5</v>
      </c>
      <c r="D4" s="10">
        <f>[11]Notes!C31</f>
        <v>30</v>
      </c>
      <c r="E4" s="3" t="s">
        <v>6</v>
      </c>
      <c r="F4" s="9">
        <f>[11]Notes!C20</f>
        <v>44530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f>IF(Curr_DistDate&lt;&gt;First_DistDate,Prev_DistDate,[11]Notes!C15)</f>
        <v>44515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f>Curr_DistDate</f>
        <v>44545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f>VLOOKUP("0809_COLLATERAL_BALANCE",'[11]Initial Data'!B:F,3,FALSE)</f>
        <v>1119632940.8099999</v>
      </c>
      <c r="D10" s="22">
        <f>Coll_BegBal</f>
        <v>542626228.21000004</v>
      </c>
      <c r="E10" s="23">
        <f>Coll_EndBal</f>
        <v>517957526.38</v>
      </c>
      <c r="F10" s="24">
        <f>IF(C12&lt;=0,0,E10/C12)</f>
        <v>0.49464120343469409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f>VLOOKUP("OVERCOLLATERAL_BALANCE",'[11]Initial Data'!B:F,3,FALSE)</f>
        <v>72495090.620000005</v>
      </c>
      <c r="D11" s="22">
        <f>OC_BegBal</f>
        <v>25878880.489999998</v>
      </c>
      <c r="E11" s="23">
        <f>OC_EndBal</f>
        <v>24176414.859999999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f>C10-C11</f>
        <v>1047137850.1899999</v>
      </c>
      <c r="D12" s="22">
        <f>Adj_BegBal</f>
        <v>516747347.72000003</v>
      </c>
      <c r="E12" s="23">
        <f>Adj_EndBal</f>
        <v>493781111.51999998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f>SUM(C14:C19)</f>
        <v>1047137850.1900001</v>
      </c>
      <c r="D13" s="22">
        <f>SUM(D14:D19)</f>
        <v>516747347.71999997</v>
      </c>
      <c r="E13" s="23">
        <f>SUM(E14:E19)</f>
        <v>493781111.51999992</v>
      </c>
      <c r="F13" s="24">
        <f>IF(C13&lt;=0,0,E13/C13)</f>
        <v>0.47155311158927626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f>[11]Notes!$F$4</f>
        <v>9.7792999999999995E-3</v>
      </c>
      <c r="C14" s="99">
        <f>[11]Notes!$B$4</f>
        <v>162000000</v>
      </c>
      <c r="D14" s="22">
        <f>[11]Notes!C4</f>
        <v>0</v>
      </c>
      <c r="E14" s="23">
        <f>[11]Notes!P4</f>
        <v>0</v>
      </c>
      <c r="F14" s="24">
        <f t="shared" ref="F14:F19" si="0">IF(C14&lt;=0,0,E14/C14)</f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f>[11]Notes!$F$5</f>
        <v>1.4500000000000001E-2</v>
      </c>
      <c r="C15" s="99">
        <f>[11]Notes!$B$5</f>
        <v>352000000</v>
      </c>
      <c r="D15" s="22">
        <f>[11]Notes!C5</f>
        <v>0</v>
      </c>
      <c r="E15" s="23">
        <f>[11]Notes!P5</f>
        <v>0</v>
      </c>
      <c r="F15" s="24">
        <f t="shared" si="0"/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f>[11]Notes!$F$6</f>
        <v>0</v>
      </c>
      <c r="C16" s="99">
        <f>[11]Notes!$B$6</f>
        <v>0</v>
      </c>
      <c r="D16" s="22">
        <f>[11]Notes!C6</f>
        <v>0</v>
      </c>
      <c r="E16" s="23">
        <f>[11]Notes!P6</f>
        <v>0</v>
      </c>
      <c r="F16" s="24">
        <f>IF(C16&lt;=0,0,E16/C16)</f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f>[11]Notes!$F$7</f>
        <v>1.38E-2</v>
      </c>
      <c r="C17" s="99">
        <f>[11]Notes!$B$7</f>
        <v>401000000</v>
      </c>
      <c r="D17" s="22">
        <f>[11]Notes!C7</f>
        <v>384609497.52999997</v>
      </c>
      <c r="E17" s="23">
        <f>[11]Notes!P7</f>
        <v>361643261.32999992</v>
      </c>
      <c r="F17" s="24">
        <f t="shared" si="0"/>
        <v>0.90185351952618431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f>[11]Notes!$F$8</f>
        <v>1.7000000000000001E-2</v>
      </c>
      <c r="C18" s="99">
        <f>[11]Notes!$B$8</f>
        <v>85000000</v>
      </c>
      <c r="D18" s="22">
        <f>[11]Notes!C8</f>
        <v>85000000</v>
      </c>
      <c r="E18" s="23">
        <f>[11]Notes!P8</f>
        <v>85000000</v>
      </c>
      <c r="F18" s="24">
        <f t="shared" si="0"/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f>IF(OR(Curr_DistDate&gt;=A2_FinalDist,Events_of_Default="Yes",Rescission="Yes"),A2a_BegBal,IF(AND(A2a_BegBal&lt;&gt;0,A1_EndBal=0),MIN(A2a_BegBal,MAX(0,(Adj_BegBal-Adj_EndBal-C18)*'Nov21'!C15/SUM('Nov21'!C15:C16))),0))</f>
        <v>0</v>
      </c>
      <c r="C19" s="98">
        <f>[11]Notes!$B$9</f>
        <v>47137850.189999998</v>
      </c>
      <c r="D19" s="22">
        <f>[11]Notes!C9</f>
        <v>47137850.189999998</v>
      </c>
      <c r="E19" s="23">
        <f>[11]Notes!P9</f>
        <v>47137850.189999998</v>
      </c>
      <c r="F19" s="24">
        <f t="shared" si="0"/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f>[11]Notes!N4</f>
        <v>0</v>
      </c>
      <c r="C23" s="22">
        <f>[11]Notes!K4</f>
        <v>0</v>
      </c>
      <c r="D23" s="39">
        <f>IF(C14&lt;=0,0,B23/(C14/1000))</f>
        <v>0</v>
      </c>
      <c r="E23" s="40">
        <f>IF(C14&lt;=0,0,C23/(C14/1000))</f>
        <v>0</v>
      </c>
      <c r="F23" s="36"/>
    </row>
    <row r="24" spans="1:13" x14ac:dyDescent="0.25">
      <c r="A24" s="32" t="s">
        <v>19</v>
      </c>
      <c r="B24" s="22">
        <f>[11]Notes!N5</f>
        <v>0</v>
      </c>
      <c r="C24" s="22">
        <f>[11]Notes!K5</f>
        <v>0</v>
      </c>
      <c r="D24" s="39">
        <f t="shared" ref="D24:D28" si="1">IF(C15&lt;=0,0,B24/(C15/1000))</f>
        <v>0</v>
      </c>
      <c r="E24" s="40">
        <f t="shared" ref="E24:E28" si="2">IF(C15&lt;=0,0,C24/(C15/1000))</f>
        <v>0</v>
      </c>
      <c r="F24" s="36"/>
    </row>
    <row r="25" spans="1:13" x14ac:dyDescent="0.25">
      <c r="A25" s="32" t="s">
        <v>20</v>
      </c>
      <c r="B25" s="22">
        <f>[11]Notes!N6</f>
        <v>0</v>
      </c>
      <c r="C25" s="22">
        <f>[11]Notes!K6</f>
        <v>0</v>
      </c>
      <c r="D25" s="39">
        <f t="shared" si="1"/>
        <v>0</v>
      </c>
      <c r="E25" s="40">
        <f>IF(C16&lt;=0,0,C25/(C16/1000))</f>
        <v>0</v>
      </c>
      <c r="F25" s="36"/>
    </row>
    <row r="26" spans="1:13" x14ac:dyDescent="0.25">
      <c r="A26" s="32" t="s">
        <v>21</v>
      </c>
      <c r="B26" s="22">
        <f>[11]Notes!N7</f>
        <v>22966236.200000048</v>
      </c>
      <c r="C26" s="22">
        <f>[11]Notes!K7</f>
        <v>442300.92</v>
      </c>
      <c r="D26" s="39">
        <f t="shared" si="1"/>
        <v>57.272409476309349</v>
      </c>
      <c r="E26" s="40">
        <f t="shared" si="2"/>
        <v>1.1029948129675811</v>
      </c>
      <c r="F26" s="36"/>
    </row>
    <row r="27" spans="1:13" x14ac:dyDescent="0.25">
      <c r="A27" s="32" t="s">
        <v>22</v>
      </c>
      <c r="B27" s="22">
        <f>[11]Notes!N8</f>
        <v>0</v>
      </c>
      <c r="C27" s="22">
        <f>[11]Notes!K8</f>
        <v>120416.67</v>
      </c>
      <c r="D27" s="39">
        <f t="shared" si="1"/>
        <v>0</v>
      </c>
      <c r="E27" s="40">
        <f t="shared" si="2"/>
        <v>1.416666705882353</v>
      </c>
      <c r="F27" s="36"/>
    </row>
    <row r="28" spans="1:13" x14ac:dyDescent="0.25">
      <c r="A28" s="32" t="s">
        <v>23</v>
      </c>
      <c r="B28" s="22">
        <f>[11]Notes!N9</f>
        <v>0</v>
      </c>
      <c r="C28" s="22">
        <f>[11]Notes!K9</f>
        <v>0</v>
      </c>
      <c r="D28" s="39">
        <f t="shared" si="1"/>
        <v>0</v>
      </c>
      <c r="E28" s="40">
        <f t="shared" si="2"/>
        <v>0</v>
      </c>
      <c r="F28" s="36"/>
    </row>
    <row r="29" spans="1:13" ht="18.75" thickBot="1" x14ac:dyDescent="0.3">
      <c r="A29" s="41" t="s">
        <v>28</v>
      </c>
      <c r="B29" s="42">
        <f>SUM(B23:B28)</f>
        <v>22966236.200000048</v>
      </c>
      <c r="C29" s="42">
        <f>SUM(C23:C28)</f>
        <v>562717.59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f>[11]Sources!B6</f>
        <v>1424890.57</v>
      </c>
      <c r="F35" s="53"/>
      <c r="G35" s="93"/>
    </row>
    <row r="36" spans="1:7" x14ac:dyDescent="0.25">
      <c r="A36" s="51" t="s">
        <v>32</v>
      </c>
      <c r="E36" s="55">
        <f>[11]Sources!B28</f>
        <v>0</v>
      </c>
      <c r="F36" s="53"/>
      <c r="G36" s="93"/>
    </row>
    <row r="37" spans="1:7" x14ac:dyDescent="0.25">
      <c r="A37" s="46" t="s">
        <v>33</v>
      </c>
      <c r="E37" s="52">
        <f>SUM(E35:E36)</f>
        <v>1424890.57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f>[11]Sources!B14</f>
        <v>24534230.699999999</v>
      </c>
      <c r="F40" s="53"/>
      <c r="G40" s="93"/>
    </row>
    <row r="41" spans="1:7" x14ac:dyDescent="0.25">
      <c r="A41" s="51" t="s">
        <v>36</v>
      </c>
      <c r="E41" s="55">
        <f>[11]Sources!B29</f>
        <v>0</v>
      </c>
      <c r="F41" s="53"/>
      <c r="G41" s="93"/>
    </row>
    <row r="42" spans="1:7" x14ac:dyDescent="0.25">
      <c r="A42" s="46" t="s">
        <v>37</v>
      </c>
      <c r="E42" s="52">
        <f>SUM(E40:E41)</f>
        <v>24534230.699999999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f>[11]Sources!B16</f>
        <v>209266.34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f>E37+E42+E44</f>
        <v>26168387.609999999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f>[11]Collateral!C4</f>
        <v>34033</v>
      </c>
      <c r="E51" s="58">
        <f>Adj_BegBal</f>
        <v>516747347.72000003</v>
      </c>
      <c r="F51" s="53"/>
      <c r="G51" s="93"/>
    </row>
    <row r="52" spans="1:7" x14ac:dyDescent="0.25">
      <c r="A52" s="46" t="s">
        <v>44</v>
      </c>
      <c r="D52" s="65"/>
      <c r="E52" s="55">
        <f>D12-E12</f>
        <v>22966236.200000048</v>
      </c>
      <c r="F52" s="53"/>
      <c r="G52" s="93"/>
    </row>
    <row r="53" spans="1:7" x14ac:dyDescent="0.25">
      <c r="A53" s="46"/>
      <c r="D53" s="66">
        <f>IF([11]Notes!S1=1,[11]Collateral!C5,0)</f>
        <v>33430</v>
      </c>
      <c r="E53" s="67">
        <f>E51-E52</f>
        <v>493781111.51999998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f>E47</f>
        <v>26168387.609999999</v>
      </c>
      <c r="F57" s="53"/>
      <c r="G57" s="93"/>
    </row>
    <row r="58" spans="1:7" x14ac:dyDescent="0.25">
      <c r="A58" s="46" t="s">
        <v>46</v>
      </c>
      <c r="E58" s="68">
        <f>'[11]Credit Support'!B6</f>
        <v>0</v>
      </c>
      <c r="F58" s="53"/>
      <c r="G58" s="93"/>
    </row>
    <row r="59" spans="1:7" x14ac:dyDescent="0.25">
      <c r="A59" s="46" t="s">
        <v>47</v>
      </c>
      <c r="E59" s="69">
        <f>SUM(E57:E58)</f>
        <v>26168387.609999999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f>[11]Waterfall!B9</f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f>ROUND([11]Waterfall!B10,2)</f>
        <v>452188.52</v>
      </c>
      <c r="F64" s="53"/>
      <c r="G64" s="93"/>
    </row>
    <row r="65" spans="1:7" x14ac:dyDescent="0.25">
      <c r="A65" s="51" t="s">
        <v>51</v>
      </c>
      <c r="E65" s="68">
        <f>ROUND([11]Waterfall!C10,2)</f>
        <v>452188.52</v>
      </c>
      <c r="F65" s="53"/>
      <c r="G65" s="93"/>
    </row>
    <row r="66" spans="1:7" x14ac:dyDescent="0.25">
      <c r="A66" s="51" t="s">
        <v>52</v>
      </c>
      <c r="E66" s="69">
        <f>[11]Waterfall!E10</f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f>[11]Notes!I4</f>
        <v>0</v>
      </c>
      <c r="F70" s="53"/>
      <c r="G70" s="93"/>
    </row>
    <row r="71" spans="1:7" x14ac:dyDescent="0.25">
      <c r="A71" s="70" t="s">
        <v>56</v>
      </c>
      <c r="E71" s="68">
        <f>[11]Notes!J4</f>
        <v>0</v>
      </c>
      <c r="F71" s="53"/>
      <c r="G71" s="93"/>
    </row>
    <row r="72" spans="1:7" x14ac:dyDescent="0.25">
      <c r="A72" s="70" t="s">
        <v>57</v>
      </c>
      <c r="E72" s="68">
        <f>[11]Notes!H4</f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f>[11]Notes!K4</f>
        <v>0</v>
      </c>
      <c r="F74" s="53"/>
      <c r="G74" s="93"/>
    </row>
    <row r="75" spans="1:7" x14ac:dyDescent="0.25">
      <c r="A75" s="70" t="s">
        <v>59</v>
      </c>
      <c r="E75" s="68">
        <f>[11]Notes!L4-[11]Notes!I4</f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f>[11]Notes!I5</f>
        <v>0</v>
      </c>
      <c r="F78" s="53"/>
      <c r="G78" s="93"/>
    </row>
    <row r="79" spans="1:7" x14ac:dyDescent="0.25">
      <c r="A79" s="70" t="s">
        <v>62</v>
      </c>
      <c r="E79" s="68">
        <f>[11]Notes!J5</f>
        <v>0</v>
      </c>
      <c r="F79" s="53"/>
      <c r="G79" s="93"/>
    </row>
    <row r="80" spans="1:7" x14ac:dyDescent="0.25">
      <c r="A80" s="70" t="s">
        <v>63</v>
      </c>
      <c r="E80" s="68">
        <f>[11]Notes!H5</f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f>[11]Notes!K5</f>
        <v>0</v>
      </c>
      <c r="F82" s="53"/>
      <c r="G82" s="93"/>
    </row>
    <row r="83" spans="1:7" x14ac:dyDescent="0.25">
      <c r="A83" s="70" t="s">
        <v>65</v>
      </c>
      <c r="E83" s="68">
        <f>[11]Notes!L5-[11]Notes!I5</f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f>[11]Notes!I6</f>
        <v>0</v>
      </c>
      <c r="F86" s="53"/>
      <c r="G86" s="93"/>
    </row>
    <row r="87" spans="1:7" x14ac:dyDescent="0.25">
      <c r="A87" s="70" t="s">
        <v>68</v>
      </c>
      <c r="E87" s="68">
        <f>[11]Notes!J6</f>
        <v>0</v>
      </c>
      <c r="F87" s="53"/>
      <c r="G87" s="93"/>
    </row>
    <row r="88" spans="1:7" x14ac:dyDescent="0.25">
      <c r="A88" s="70" t="s">
        <v>69</v>
      </c>
      <c r="E88" s="68">
        <f>[11]Notes!H6</f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f>[11]Notes!K6</f>
        <v>0</v>
      </c>
      <c r="F90" s="53"/>
      <c r="G90" s="93"/>
    </row>
    <row r="91" spans="1:7" x14ac:dyDescent="0.25">
      <c r="A91" s="70" t="s">
        <v>71</v>
      </c>
      <c r="E91" s="68">
        <f>[11]Notes!L6-[11]Notes!I6</f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f>[11]Notes!I7</f>
        <v>0</v>
      </c>
      <c r="F94" s="53"/>
      <c r="G94" s="93"/>
    </row>
    <row r="95" spans="1:7" x14ac:dyDescent="0.25">
      <c r="A95" s="70" t="s">
        <v>74</v>
      </c>
      <c r="E95" s="68">
        <f>[11]Notes!J7</f>
        <v>0</v>
      </c>
      <c r="F95" s="53"/>
      <c r="G95" s="93"/>
    </row>
    <row r="96" spans="1:7" x14ac:dyDescent="0.25">
      <c r="A96" s="70" t="s">
        <v>75</v>
      </c>
      <c r="E96" s="68">
        <f>[11]Notes!H7</f>
        <v>442300.92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f>[11]Notes!K7</f>
        <v>442300.92</v>
      </c>
      <c r="F98" s="53"/>
      <c r="G98" s="93"/>
    </row>
    <row r="99" spans="1:7" x14ac:dyDescent="0.25">
      <c r="A99" s="70" t="s">
        <v>77</v>
      </c>
      <c r="E99" s="68">
        <f>[11]Notes!L7-[11]Notes!I7</f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f>[11]Notes!I8</f>
        <v>0</v>
      </c>
      <c r="F102" s="53"/>
      <c r="G102" s="93"/>
    </row>
    <row r="103" spans="1:7" x14ac:dyDescent="0.25">
      <c r="A103" s="70" t="s">
        <v>80</v>
      </c>
      <c r="E103" s="68">
        <f>[11]Notes!J8</f>
        <v>0</v>
      </c>
      <c r="F103" s="53"/>
      <c r="G103" s="93"/>
    </row>
    <row r="104" spans="1:7" x14ac:dyDescent="0.25">
      <c r="A104" s="70" t="s">
        <v>81</v>
      </c>
      <c r="E104" s="68">
        <f>[11]Notes!H8</f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f>[11]Notes!K8</f>
        <v>120416.67</v>
      </c>
      <c r="F106" s="53"/>
      <c r="G106" s="93"/>
    </row>
    <row r="107" spans="1:7" x14ac:dyDescent="0.25">
      <c r="A107" s="70" t="s">
        <v>83</v>
      </c>
      <c r="E107" s="68">
        <f>[11]Notes!L8-[11]Notes!I8</f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f>E72+E80+E88+E96+E104</f>
        <v>562717.59</v>
      </c>
      <c r="F110" s="53"/>
      <c r="G110" s="93"/>
    </row>
    <row r="111" spans="1:7" x14ac:dyDescent="0.25">
      <c r="A111" s="70" t="s">
        <v>86</v>
      </c>
      <c r="E111" s="69">
        <f>E74+E82+E90+E98+E106</f>
        <v>562717.59</v>
      </c>
      <c r="F111" s="53"/>
      <c r="G111" s="93"/>
    </row>
    <row r="112" spans="1:7" x14ac:dyDescent="0.25">
      <c r="A112" s="70" t="s">
        <v>87</v>
      </c>
      <c r="E112" s="69">
        <f>E70+E78+E94+E102</f>
        <v>0</v>
      </c>
      <c r="F112" s="53"/>
      <c r="G112" s="93"/>
    </row>
    <row r="113" spans="1:7" x14ac:dyDescent="0.25">
      <c r="A113" s="70" t="s">
        <v>88</v>
      </c>
      <c r="E113" s="69">
        <f>E75+E83+E99+E107</f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f>Avail_Amt-SUM([11]Waterfall!C9:C17)</f>
        <v>25153481.496491667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f>SUM([11]Notes!N4:N8)</f>
        <v>22966236.200000048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f>SUM([11]Notes!M4:M8)</f>
        <v>0</v>
      </c>
      <c r="F119" s="53"/>
      <c r="G119" s="93"/>
    </row>
    <row r="120" spans="1:7" x14ac:dyDescent="0.25">
      <c r="A120" s="51" t="s">
        <v>92</v>
      </c>
      <c r="E120" s="72">
        <f>SUM([11]Notes!N4:N8)</f>
        <v>22966236.200000048</v>
      </c>
      <c r="F120" s="53"/>
      <c r="G120" s="93"/>
    </row>
    <row r="121" spans="1:7" x14ac:dyDescent="0.25">
      <c r="A121" s="51" t="s">
        <v>93</v>
      </c>
      <c r="E121" s="69">
        <f>SUM([11]Notes!O4:O8)-SUM([11]Notes!M4:M8)</f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f>[11]Notes!N9</f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f>[11]Notes!M9</f>
        <v>0</v>
      </c>
      <c r="F125" s="53"/>
      <c r="G125" s="93"/>
    </row>
    <row r="126" spans="1:7" x14ac:dyDescent="0.25">
      <c r="A126" s="51" t="s">
        <v>96</v>
      </c>
      <c r="E126" s="69">
        <f>[11]Notes!N9</f>
        <v>0</v>
      </c>
      <c r="F126" s="53"/>
      <c r="G126" s="93"/>
    </row>
    <row r="127" spans="1:7" x14ac:dyDescent="0.25">
      <c r="A127" s="51" t="s">
        <v>97</v>
      </c>
      <c r="E127" s="69">
        <f>[11]Notes!O9-[11]Notes!M9</f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f>Avail_Amt-SUM([11]Waterfall!C9:C22)</f>
        <v>2187245.2964916192</v>
      </c>
      <c r="F129" s="53"/>
      <c r="G129" s="93"/>
    </row>
    <row r="130" spans="1:7" x14ac:dyDescent="0.25">
      <c r="A130" s="51" t="s">
        <v>99</v>
      </c>
      <c r="E130" s="68">
        <f>[11]Waterfall!C23</f>
        <v>0</v>
      </c>
      <c r="F130" s="53"/>
      <c r="G130" s="93"/>
    </row>
    <row r="131" spans="1:7" x14ac:dyDescent="0.25">
      <c r="A131" s="46" t="s">
        <v>100</v>
      </c>
      <c r="E131" s="69">
        <f>E129-E130</f>
        <v>2187245.2964916192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f>'[11]Credit Support'!B12</f>
        <v>0</v>
      </c>
      <c r="F135" s="53"/>
      <c r="G135" s="93"/>
    </row>
    <row r="136" spans="1:7" hidden="1" x14ac:dyDescent="0.25">
      <c r="A136" s="46" t="s">
        <v>103</v>
      </c>
      <c r="E136" s="74">
        <f>'[11]Credit Support'!B13</f>
        <v>0</v>
      </c>
      <c r="F136" s="53"/>
      <c r="G136" s="93"/>
    </row>
    <row r="137" spans="1:7" hidden="1" x14ac:dyDescent="0.25">
      <c r="A137" s="46" t="s">
        <v>104</v>
      </c>
      <c r="E137" s="69">
        <f>'[11]Credit Support'!B14</f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f>'[11]Initial Data'!D15</f>
        <v>10471378.5</v>
      </c>
      <c r="F143" s="53"/>
      <c r="G143" s="93"/>
    </row>
    <row r="144" spans="1:7" x14ac:dyDescent="0.25">
      <c r="A144" s="46" t="s">
        <v>107</v>
      </c>
      <c r="E144" s="69">
        <f>'[11]Credit Support'!B8</f>
        <v>10471378.5</v>
      </c>
      <c r="F144" s="75"/>
      <c r="G144" s="93"/>
    </row>
    <row r="145" spans="1:256" x14ac:dyDescent="0.25">
      <c r="A145" s="46" t="s">
        <v>108</v>
      </c>
      <c r="E145" s="68">
        <f>'[11]Credit Support'!B4</f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f>'[11]Credit Support'!B5</f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f>'[11]Credit Support'!B7</f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f>E144</f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f>[11]Sources!B31</f>
        <v>3.0591746699999998E-2</v>
      </c>
      <c r="F153" s="53"/>
      <c r="G153" s="93"/>
    </row>
    <row r="154" spans="1:256" x14ac:dyDescent="0.25">
      <c r="A154" s="46" t="s">
        <v>114</v>
      </c>
      <c r="E154" s="79">
        <f>[11]Sources!B32</f>
        <v>38.782342999999997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f>[11]Collateral!C19</f>
        <v>134471.13</v>
      </c>
      <c r="E157" s="3">
        <f>+[11]Collateral!B19</f>
        <v>7</v>
      </c>
      <c r="F157" s="80"/>
      <c r="G157" s="93"/>
    </row>
    <row r="158" spans="1:256" x14ac:dyDescent="0.25">
      <c r="A158" s="46" t="s">
        <v>116</v>
      </c>
      <c r="D158" s="74">
        <f>[11]Sources!B16</f>
        <v>209266.34</v>
      </c>
      <c r="F158" s="53"/>
      <c r="G158" s="93"/>
    </row>
    <row r="159" spans="1:256" x14ac:dyDescent="0.25">
      <c r="A159" s="3" t="s">
        <v>117</v>
      </c>
      <c r="D159" s="26">
        <f>+D157-D158</f>
        <v>-74795.209999999992</v>
      </c>
    </row>
    <row r="160" spans="1:256" x14ac:dyDescent="0.25">
      <c r="A160" s="46" t="s">
        <v>118</v>
      </c>
      <c r="D160" s="69">
        <f>Coll_BegBal</f>
        <v>542626228.21000004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f>[11]Sources!B34</f>
        <v>7.4379000000000001E-5</v>
      </c>
      <c r="F162" s="80"/>
      <c r="G162" s="93"/>
    </row>
    <row r="163" spans="1:7" x14ac:dyDescent="0.25">
      <c r="A163" s="46" t="s">
        <v>120</v>
      </c>
      <c r="D163" s="81">
        <f>[11]Sources!B35</f>
        <v>-2.4168312E-3</v>
      </c>
      <c r="F163" s="80"/>
      <c r="G163" s="93"/>
    </row>
    <row r="164" spans="1:7" x14ac:dyDescent="0.25">
      <c r="A164" s="46" t="s">
        <v>121</v>
      </c>
      <c r="D164" s="81">
        <f>[11]Sources!B36</f>
        <v>3.3347328999999998E-3</v>
      </c>
      <c r="F164" s="80"/>
      <c r="G164" s="93"/>
    </row>
    <row r="165" spans="1:7" x14ac:dyDescent="0.25">
      <c r="A165" s="46" t="s">
        <v>122</v>
      </c>
      <c r="D165" s="81">
        <f>IF(D160&lt;=0,0,12*(D157-D158)/D160)</f>
        <v>-1.6540713908370917E-3</v>
      </c>
      <c r="F165" s="53"/>
      <c r="G165" s="93"/>
    </row>
    <row r="166" spans="1:7" x14ac:dyDescent="0.25">
      <c r="A166" s="46" t="s">
        <v>123</v>
      </c>
      <c r="D166" s="78">
        <f>AVERAGE(D162:D165)</f>
        <v>-1.6544767270927299E-4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f>[11]Collateral!C20</f>
        <v>2634802.42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f>[11]Collateral!C15</f>
        <v>1807121.84</v>
      </c>
      <c r="E171" s="83">
        <f>[11]Collateral!B15</f>
        <v>96</v>
      </c>
      <c r="F171" s="81">
        <f>[11]Collateral!D15</f>
        <v>3.4889382776807139E-3</v>
      </c>
      <c r="G171" s="93"/>
    </row>
    <row r="172" spans="1:7" x14ac:dyDescent="0.25">
      <c r="A172" s="51" t="s">
        <v>128</v>
      </c>
      <c r="D172" s="68">
        <f>[11]Collateral!C16</f>
        <v>592663.47</v>
      </c>
      <c r="E172" s="83">
        <f>[11]Collateral!B16</f>
        <v>27</v>
      </c>
      <c r="F172" s="81">
        <f>[11]Collateral!D16</f>
        <v>1.144231794722859E-3</v>
      </c>
      <c r="G172" s="93"/>
    </row>
    <row r="173" spans="1:7" x14ac:dyDescent="0.25">
      <c r="A173" s="51" t="s">
        <v>129</v>
      </c>
      <c r="D173" s="23">
        <f>[11]Collateral!C17</f>
        <v>69219.37</v>
      </c>
      <c r="E173" s="84">
        <f>[11]Collateral!B17</f>
        <v>5</v>
      </c>
      <c r="F173" s="81">
        <f>[11]Collateral!D17</f>
        <v>1.3363908520409672E-4</v>
      </c>
      <c r="G173" s="93"/>
    </row>
    <row r="174" spans="1:7" x14ac:dyDescent="0.25">
      <c r="A174" s="51" t="s">
        <v>130</v>
      </c>
      <c r="D174" s="85">
        <f>+[11]Collateral!C18</f>
        <v>0</v>
      </c>
      <c r="E174" s="86">
        <f>+[11]Collateral!B18</f>
        <v>0</v>
      </c>
      <c r="F174" s="87">
        <f>[11]Collateral!D18</f>
        <v>0</v>
      </c>
      <c r="G174" s="93"/>
    </row>
    <row r="175" spans="1:7" x14ac:dyDescent="0.25">
      <c r="A175" s="46" t="s">
        <v>131</v>
      </c>
      <c r="D175" s="101">
        <f>SUM(D171:D174)</f>
        <v>2469004.6800000002</v>
      </c>
      <c r="E175" s="83">
        <f>SUM(E171:E174)</f>
        <v>128</v>
      </c>
      <c r="F175" s="89">
        <f>SUM(F171:F174)</f>
        <v>4.7668091576076703E-3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f>[11]Collateral!C22</f>
        <v>8.7192789999999997E-4</v>
      </c>
      <c r="E178" s="81">
        <f>[11]Collateral!B22</f>
        <v>8.1893139999999998E-4</v>
      </c>
      <c r="F178" s="80"/>
      <c r="G178" s="93"/>
    </row>
    <row r="179" spans="1:7" x14ac:dyDescent="0.25">
      <c r="A179" s="46" t="s">
        <v>134</v>
      </c>
      <c r="D179" s="81">
        <f>[11]Collateral!C23</f>
        <v>8.4096439999999995E-4</v>
      </c>
      <c r="E179" s="81">
        <f>[11]Collateral!B23</f>
        <v>8.3498890000000003E-4</v>
      </c>
      <c r="F179" s="80"/>
      <c r="G179" s="93"/>
    </row>
    <row r="180" spans="1:7" x14ac:dyDescent="0.25">
      <c r="A180" s="46" t="s">
        <v>135</v>
      </c>
      <c r="D180" s="81">
        <f>[11]Collateral!C24</f>
        <v>1.19692E-3</v>
      </c>
      <c r="E180" s="81">
        <f>[11]Collateral!B24</f>
        <v>8.8149739999999999E-4</v>
      </c>
      <c r="F180" s="80"/>
      <c r="G180" s="93"/>
    </row>
    <row r="181" spans="1:7" x14ac:dyDescent="0.25">
      <c r="A181" s="46" t="s">
        <v>136</v>
      </c>
      <c r="D181" s="81">
        <f>IF(Coll_EndBal&lt;=0,0,SUM(D172:D174)/Coll_EndBal)</f>
        <v>1.2778708799269557E-3</v>
      </c>
      <c r="E181" s="81">
        <f>IF(D53&lt;=0,0,SUM('Nov21'!E172:E174)/D53)</f>
        <v>9.5722405025426267E-4</v>
      </c>
      <c r="F181" s="53"/>
      <c r="G181" s="93"/>
    </row>
    <row r="182" spans="1:7" x14ac:dyDescent="0.25">
      <c r="A182" s="46" t="s">
        <v>137</v>
      </c>
      <c r="D182" s="81">
        <f>AVERAGE(D178:D181)</f>
        <v>1.0469207949817389E-3</v>
      </c>
      <c r="E182" s="81">
        <f>AVERAGE(E178:E181)</f>
        <v>8.7316043756356567E-4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f>+[11]Collateral!C27</f>
        <v>710425.06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f>IF(Coll_EndBal&lt;=0,0,[11]Collateral!C27/Coll_EndBal)</f>
        <v>1.3715894138369873E-3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f>+'[11]Initial Data'!D49</f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tr">
        <f>+IF(D185&lt;=D186,"No","Yes")</f>
        <v>No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f>[11]Collateral!C32</f>
        <v>1833869.93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f>[11]Collateral!B32</f>
        <v>91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tr">
        <f>VLOOKUP("STMNT_TO_NOTEHLD_2",'[11]Current Data'!B:F,2,FALSE)</f>
        <v>NO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tr">
        <f>VLOOKUP("STMNT_TO_NOTEHLD_4",'[11]Current Data'!B:F,2,FALSE)</f>
        <v>NO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tr">
        <f>VLOOKUP("STMNT_TO_NOTEHLD_5",'[11]Current Data'!B:F,2,FALSE)</f>
        <v>NO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tr">
        <f>VLOOKUP("STMNT_TO_NOTEHLD_6",'[11]Current Data'!B:F,2,FALSE)</f>
        <v>NO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D18" sqref="D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44500</v>
      </c>
      <c r="C3" s="8" t="s">
        <v>2</v>
      </c>
      <c r="D3" s="3">
        <v>30</v>
      </c>
      <c r="E3" s="3" t="s">
        <v>3</v>
      </c>
      <c r="F3" s="9">
        <v>44470</v>
      </c>
      <c r="G3" s="3"/>
    </row>
    <row r="4" spans="1:13" ht="15.75" customHeight="1" x14ac:dyDescent="0.3">
      <c r="A4" s="2" t="s">
        <v>4</v>
      </c>
      <c r="B4" s="7">
        <v>44515</v>
      </c>
      <c r="C4" s="8" t="s">
        <v>5</v>
      </c>
      <c r="D4" s="10">
        <v>31</v>
      </c>
      <c r="E4" s="3" t="s">
        <v>6</v>
      </c>
      <c r="F4" s="9">
        <v>44500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44484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44515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568032086.92999995</v>
      </c>
      <c r="E10" s="23">
        <v>542626228.21000004</v>
      </c>
      <c r="F10" s="24">
        <v>0.51819942151030274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27628665.940000001</v>
      </c>
      <c r="E11" s="23">
        <v>25878880.489999998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540403420.98999989</v>
      </c>
      <c r="E12" s="23">
        <v>516747347.72000003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540403420.99000001</v>
      </c>
      <c r="E13" s="23">
        <v>516747347.72000009</v>
      </c>
      <c r="F13" s="24">
        <v>0.49348550205327579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7265570.7999999598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401000000</v>
      </c>
      <c r="E17" s="23">
        <v>384609497.53000009</v>
      </c>
      <c r="F17" s="24">
        <v>0.95912592900249394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7265570.7999999598</v>
      </c>
      <c r="C24" s="22">
        <v>8779.23</v>
      </c>
      <c r="D24" s="39">
        <v>20.640826136363522</v>
      </c>
      <c r="E24" s="40">
        <v>2.4940994318181815E-2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16390502.469999902</v>
      </c>
      <c r="C26" s="22">
        <v>461150</v>
      </c>
      <c r="D26" s="39">
        <v>40.874070997505989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23656073.269999862</v>
      </c>
      <c r="C29" s="42">
        <v>590345.9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1397407.16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1397407.16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25183787.690000001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25183787.690000001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64218.09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26645412.940000001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34731</v>
      </c>
      <c r="E51" s="58">
        <v>540403420.98999989</v>
      </c>
      <c r="F51" s="53"/>
      <c r="G51" s="93"/>
    </row>
    <row r="52" spans="1:7" x14ac:dyDescent="0.25">
      <c r="A52" s="46" t="s">
        <v>44</v>
      </c>
      <c r="D52" s="65"/>
      <c r="E52" s="55">
        <v>23656073.269999862</v>
      </c>
      <c r="F52" s="53"/>
      <c r="G52" s="93"/>
    </row>
    <row r="53" spans="1:7" x14ac:dyDescent="0.25">
      <c r="A53" s="46"/>
      <c r="D53" s="66">
        <v>34033</v>
      </c>
      <c r="E53" s="67">
        <v>516747347.72000003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26645412.940000001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26645412.940000001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473360.07</v>
      </c>
      <c r="F64" s="53"/>
      <c r="G64" s="93"/>
    </row>
    <row r="65" spans="1:7" x14ac:dyDescent="0.25">
      <c r="A65" s="51" t="s">
        <v>51</v>
      </c>
      <c r="E65" s="68">
        <v>473360.07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8779.23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8779.23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461150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461150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590345.9</v>
      </c>
      <c r="F110" s="53"/>
      <c r="G110" s="93"/>
    </row>
    <row r="111" spans="1:7" x14ac:dyDescent="0.25">
      <c r="A111" s="70" t="s">
        <v>86</v>
      </c>
      <c r="E111" s="69">
        <v>590345.9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25581706.967558336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23656073.269999862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23656073.269999862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1925633.6975584738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1925633.6975584738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3.06204869E-2</v>
      </c>
      <c r="F153" s="53"/>
      <c r="G153" s="93"/>
    </row>
    <row r="154" spans="1:256" x14ac:dyDescent="0.25">
      <c r="A154" s="46" t="s">
        <v>114</v>
      </c>
      <c r="E154" s="79">
        <v>39.707765999999999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222071.03</v>
      </c>
      <c r="E157" s="3">
        <v>10</v>
      </c>
      <c r="F157" s="80"/>
      <c r="G157" s="93"/>
    </row>
    <row r="158" spans="1:256" x14ac:dyDescent="0.25">
      <c r="A158" s="46" t="s">
        <v>116</v>
      </c>
      <c r="D158" s="74">
        <v>64218.09</v>
      </c>
      <c r="F158" s="53"/>
      <c r="G158" s="93"/>
    </row>
    <row r="159" spans="1:256" x14ac:dyDescent="0.25">
      <c r="A159" s="3" t="s">
        <v>117</v>
      </c>
      <c r="D159" s="26">
        <v>157852.94</v>
      </c>
    </row>
    <row r="160" spans="1:256" x14ac:dyDescent="0.25">
      <c r="A160" s="46" t="s">
        <v>118</v>
      </c>
      <c r="D160" s="69">
        <v>568032086.92999995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3.5965420000000001E-4</v>
      </c>
      <c r="F162" s="80"/>
      <c r="G162" s="93"/>
    </row>
    <row r="163" spans="1:7" x14ac:dyDescent="0.25">
      <c r="A163" s="46" t="s">
        <v>120</v>
      </c>
      <c r="D163" s="81">
        <v>7.4379000000000001E-5</v>
      </c>
      <c r="F163" s="80"/>
      <c r="G163" s="93"/>
    </row>
    <row r="164" spans="1:7" x14ac:dyDescent="0.25">
      <c r="A164" s="46" t="s">
        <v>121</v>
      </c>
      <c r="D164" s="81">
        <v>-2.4168312E-3</v>
      </c>
      <c r="F164" s="80"/>
      <c r="G164" s="93"/>
    </row>
    <row r="165" spans="1:7" x14ac:dyDescent="0.25">
      <c r="A165" s="46" t="s">
        <v>122</v>
      </c>
      <c r="D165" s="81">
        <v>3.3347328849636475E-3</v>
      </c>
      <c r="F165" s="53"/>
      <c r="G165" s="93"/>
    </row>
    <row r="166" spans="1:7" x14ac:dyDescent="0.25">
      <c r="A166" s="46" t="s">
        <v>123</v>
      </c>
      <c r="D166" s="78">
        <v>3.3798372124091186E-4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2709597.63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2381915.1</v>
      </c>
      <c r="E171" s="83">
        <v>125</v>
      </c>
      <c r="F171" s="81">
        <v>4.38960554460737E-3</v>
      </c>
      <c r="G171" s="93"/>
    </row>
    <row r="172" spans="1:7" x14ac:dyDescent="0.25">
      <c r="A172" s="51" t="s">
        <v>128</v>
      </c>
      <c r="D172" s="68">
        <v>590223.41</v>
      </c>
      <c r="E172" s="83">
        <v>27</v>
      </c>
      <c r="F172" s="81">
        <v>1.0877163309024193E-3</v>
      </c>
      <c r="G172" s="93"/>
    </row>
    <row r="173" spans="1:7" x14ac:dyDescent="0.25">
      <c r="A173" s="51" t="s">
        <v>129</v>
      </c>
      <c r="D173" s="23">
        <v>59256.77</v>
      </c>
      <c r="E173" s="84">
        <v>3</v>
      </c>
      <c r="F173" s="81">
        <v>1.0920365975576695E-4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3031395.2800000003</v>
      </c>
      <c r="E175" s="83">
        <v>155</v>
      </c>
      <c r="F175" s="89">
        <v>5.586525535265556E-3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6.1627749999999999E-4</v>
      </c>
      <c r="E178" s="81">
        <v>7.1749870000000003E-4</v>
      </c>
      <c r="F178" s="80"/>
      <c r="G178" s="93"/>
    </row>
    <row r="179" spans="1:7" x14ac:dyDescent="0.25">
      <c r="A179" s="46" t="s">
        <v>134</v>
      </c>
      <c r="D179" s="81">
        <v>8.7192789999999997E-4</v>
      </c>
      <c r="E179" s="81">
        <v>8.1893139999999998E-4</v>
      </c>
      <c r="F179" s="80"/>
      <c r="G179" s="93"/>
    </row>
    <row r="180" spans="1:7" x14ac:dyDescent="0.25">
      <c r="A180" s="46" t="s">
        <v>135</v>
      </c>
      <c r="D180" s="81">
        <v>8.4096439999999995E-4</v>
      </c>
      <c r="E180" s="81">
        <v>8.3498890000000003E-4</v>
      </c>
      <c r="F180" s="80"/>
      <c r="G180" s="93"/>
    </row>
    <row r="181" spans="1:7" x14ac:dyDescent="0.25">
      <c r="A181" s="46" t="s">
        <v>136</v>
      </c>
      <c r="D181" s="81">
        <v>1.1969199906581862E-3</v>
      </c>
      <c r="E181" s="81">
        <v>8.8149737019951229E-4</v>
      </c>
      <c r="F181" s="53"/>
      <c r="G181" s="93"/>
    </row>
    <row r="182" spans="1:7" x14ac:dyDescent="0.25">
      <c r="A182" s="46" t="s">
        <v>137</v>
      </c>
      <c r="D182" s="81">
        <v>8.8152244766454653E-4</v>
      </c>
      <c r="E182" s="81">
        <v>8.1322909254987808E-4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671032.62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1.2366387489480251E-3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1807621.11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86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zoomScale="80" zoomScaleNormal="80" zoomScaleSheetLayoutView="90" workbookViewId="0">
      <selection activeCell="C15" sqref="C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44469</v>
      </c>
      <c r="C3" s="8" t="s">
        <v>2</v>
      </c>
      <c r="D3" s="3">
        <v>30</v>
      </c>
      <c r="E3" s="3" t="s">
        <v>3</v>
      </c>
      <c r="F3" s="9">
        <v>44440</v>
      </c>
      <c r="G3" s="3"/>
    </row>
    <row r="4" spans="1:13" ht="15.75" customHeight="1" x14ac:dyDescent="0.3">
      <c r="A4" s="2" t="s">
        <v>4</v>
      </c>
      <c r="B4" s="7">
        <v>44484</v>
      </c>
      <c r="C4" s="8" t="s">
        <v>5</v>
      </c>
      <c r="D4" s="10">
        <v>30</v>
      </c>
      <c r="E4" s="3" t="s">
        <v>6</v>
      </c>
      <c r="F4" s="9">
        <v>44469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44454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44484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594021025.89999998</v>
      </c>
      <c r="E10" s="23">
        <v>568032086.92999995</v>
      </c>
      <c r="F10" s="24">
        <v>0.54246161269686921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29498944.559999999</v>
      </c>
      <c r="E11" s="23">
        <v>27628665.940000001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564522081.34000003</v>
      </c>
      <c r="E12" s="23">
        <v>540403420.98999989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564522081.34000015</v>
      </c>
      <c r="E13" s="23">
        <v>540403420.99000001</v>
      </c>
      <c r="F13" s="24">
        <v>0.51607667595240247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31384231.150000099</v>
      </c>
      <c r="E15" s="23">
        <v>7265570.799999956</v>
      </c>
      <c r="F15" s="24">
        <v>2.0640826136363512E-2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24118660.350000143</v>
      </c>
      <c r="C24" s="22">
        <v>37922.61</v>
      </c>
      <c r="D24" s="39">
        <v>68.518921448864049</v>
      </c>
      <c r="E24" s="40">
        <v>0.1077346875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24118660.350000143</v>
      </c>
      <c r="C29" s="42">
        <v>619489.28000000003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1524310.61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1524310.61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25804375.420000002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25804375.420000002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304200.93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27632886.960000001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35412</v>
      </c>
      <c r="E51" s="58">
        <v>564522081.34000003</v>
      </c>
      <c r="F51" s="53"/>
      <c r="G51" s="93"/>
    </row>
    <row r="52" spans="1:7" x14ac:dyDescent="0.25">
      <c r="A52" s="46" t="s">
        <v>44</v>
      </c>
      <c r="D52" s="65"/>
      <c r="E52" s="55">
        <v>24118660.350000143</v>
      </c>
      <c r="F52" s="53"/>
      <c r="G52" s="93"/>
    </row>
    <row r="53" spans="1:7" x14ac:dyDescent="0.25">
      <c r="A53" s="46"/>
      <c r="D53" s="66">
        <v>34731</v>
      </c>
      <c r="E53" s="67">
        <v>540403420.98999989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27632886.960000001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27632886.960000001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495017.52</v>
      </c>
      <c r="F64" s="53"/>
      <c r="G64" s="93"/>
    </row>
    <row r="65" spans="1:7" x14ac:dyDescent="0.25">
      <c r="A65" s="51" t="s">
        <v>51</v>
      </c>
      <c r="E65" s="68">
        <v>495017.52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37922.61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37922.61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461150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461150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619489.28000000003</v>
      </c>
      <c r="F110" s="53"/>
      <c r="G110" s="93"/>
    </row>
    <row r="111" spans="1:7" x14ac:dyDescent="0.25">
      <c r="A111" s="70" t="s">
        <v>86</v>
      </c>
      <c r="E111" s="69">
        <v>619489.28000000003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26518380.158416666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24118660.350000143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24118660.350000143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2399719.808416523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2399719.808416523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3.06594686E-2</v>
      </c>
      <c r="F153" s="53"/>
      <c r="G153" s="93"/>
    </row>
    <row r="154" spans="1:256" x14ac:dyDescent="0.25">
      <c r="A154" s="46" t="s">
        <v>114</v>
      </c>
      <c r="E154" s="79">
        <v>40.589745000000001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184563.55</v>
      </c>
      <c r="E157" s="3">
        <v>8</v>
      </c>
      <c r="F157" s="80"/>
      <c r="G157" s="93"/>
    </row>
    <row r="158" spans="1:256" x14ac:dyDescent="0.25">
      <c r="A158" s="46" t="s">
        <v>116</v>
      </c>
      <c r="D158" s="74">
        <v>304200.93</v>
      </c>
      <c r="F158" s="53"/>
      <c r="G158" s="93"/>
    </row>
    <row r="159" spans="1:256" x14ac:dyDescent="0.25">
      <c r="A159" s="3" t="s">
        <v>117</v>
      </c>
      <c r="D159" s="26">
        <v>-119637.38</v>
      </c>
    </row>
    <row r="160" spans="1:256" x14ac:dyDescent="0.25">
      <c r="A160" s="46" t="s">
        <v>118</v>
      </c>
      <c r="D160" s="69">
        <v>594021025.89999998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-1.2786691000000001E-3</v>
      </c>
      <c r="F162" s="80"/>
      <c r="G162" s="93"/>
    </row>
    <row r="163" spans="1:7" x14ac:dyDescent="0.25">
      <c r="A163" s="46" t="s">
        <v>120</v>
      </c>
      <c r="D163" s="81">
        <v>3.5965420000000001E-4</v>
      </c>
      <c r="F163" s="80"/>
      <c r="G163" s="93"/>
    </row>
    <row r="164" spans="1:7" x14ac:dyDescent="0.25">
      <c r="A164" s="46" t="s">
        <v>121</v>
      </c>
      <c r="D164" s="81">
        <v>7.4379000000000001E-5</v>
      </c>
      <c r="F164" s="80"/>
      <c r="G164" s="93"/>
    </row>
    <row r="165" spans="1:7" x14ac:dyDescent="0.25">
      <c r="A165" s="46" t="s">
        <v>122</v>
      </c>
      <c r="D165" s="81">
        <v>-2.4168312187684807E-3</v>
      </c>
      <c r="F165" s="53"/>
      <c r="G165" s="93"/>
    </row>
    <row r="166" spans="1:7" x14ac:dyDescent="0.25">
      <c r="A166" s="46" t="s">
        <v>123</v>
      </c>
      <c r="D166" s="78">
        <v>-8.1536677969212021E-4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2551744.6899999995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1748511.85</v>
      </c>
      <c r="E171" s="83">
        <v>86</v>
      </c>
      <c r="F171" s="81">
        <v>3.0781920427242937E-3</v>
      </c>
      <c r="G171" s="93"/>
    </row>
    <row r="172" spans="1:7" x14ac:dyDescent="0.25">
      <c r="A172" s="51" t="s">
        <v>128</v>
      </c>
      <c r="D172" s="68">
        <v>344783.15</v>
      </c>
      <c r="E172" s="83">
        <v>21</v>
      </c>
      <c r="F172" s="81">
        <v>6.0697829917218842E-4</v>
      </c>
      <c r="G172" s="93"/>
    </row>
    <row r="173" spans="1:7" x14ac:dyDescent="0.25">
      <c r="A173" s="51" t="s">
        <v>129</v>
      </c>
      <c r="D173" s="23">
        <v>132911.63</v>
      </c>
      <c r="E173" s="84">
        <v>8</v>
      </c>
      <c r="F173" s="81">
        <v>2.339861304637515E-4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2226206.63</v>
      </c>
      <c r="E175" s="83">
        <v>115</v>
      </c>
      <c r="F175" s="89">
        <v>3.9191564723602334E-3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6.7438760000000002E-4</v>
      </c>
      <c r="E178" s="81">
        <v>7.0184909999999997E-4</v>
      </c>
      <c r="F178" s="80"/>
      <c r="G178" s="93"/>
    </row>
    <row r="179" spans="1:7" x14ac:dyDescent="0.25">
      <c r="A179" s="46" t="s">
        <v>134</v>
      </c>
      <c r="D179" s="81">
        <v>6.1627749999999999E-4</v>
      </c>
      <c r="E179" s="81">
        <v>7.1749870000000003E-4</v>
      </c>
      <c r="F179" s="80"/>
      <c r="G179" s="93"/>
    </row>
    <row r="180" spans="1:7" x14ac:dyDescent="0.25">
      <c r="A180" s="46" t="s">
        <v>135</v>
      </c>
      <c r="D180" s="81">
        <v>8.7192789999999997E-4</v>
      </c>
      <c r="E180" s="81">
        <v>8.1893139999999998E-4</v>
      </c>
      <c r="F180" s="80"/>
      <c r="G180" s="93"/>
    </row>
    <row r="181" spans="1:7" x14ac:dyDescent="0.25">
      <c r="A181" s="46" t="s">
        <v>136</v>
      </c>
      <c r="D181" s="81">
        <v>8.4096442963593992E-4</v>
      </c>
      <c r="E181" s="81">
        <v>8.3498891480233799E-4</v>
      </c>
      <c r="F181" s="53"/>
      <c r="G181" s="93"/>
    </row>
    <row r="182" spans="1:7" x14ac:dyDescent="0.25">
      <c r="A182" s="46" t="s">
        <v>137</v>
      </c>
      <c r="D182" s="81">
        <v>7.5088935740898503E-4</v>
      </c>
      <c r="E182" s="81">
        <v>7.6831702870058447E-4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499452.55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8.7926819891346881E-4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102">
        <v>1719333.36</v>
      </c>
      <c r="F189" s="53"/>
      <c r="G189" s="93"/>
    </row>
    <row r="190" spans="1:7" x14ac:dyDescent="0.25">
      <c r="A190" s="2" t="s">
        <v>143</v>
      </c>
      <c r="B190" s="94"/>
      <c r="C190" s="94"/>
      <c r="D190" s="103">
        <v>84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E17" sqref="E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3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44454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622885591.83000004</v>
      </c>
      <c r="E10" s="23">
        <v>594021025.89999998</v>
      </c>
      <c r="F10" s="24">
        <v>0.56728063625263536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31527913.420000002</v>
      </c>
      <c r="E11" s="23">
        <v>29498944.559999999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591357678.41000009</v>
      </c>
      <c r="E12" s="23">
        <v>564522081.34000003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591357678.41000032</v>
      </c>
      <c r="E13" s="23">
        <v>564522081.34000015</v>
      </c>
      <c r="F13" s="24">
        <v>0.5391096131589258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58219828.2200002</v>
      </c>
      <c r="E15" s="23">
        <v>31384231.150000148</v>
      </c>
      <c r="F15" s="24">
        <v>8.9159747585227697E-2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26835597.070000052</v>
      </c>
      <c r="C24" s="22">
        <v>70348.960000000006</v>
      </c>
      <c r="D24" s="39">
        <v>76.237491676136514</v>
      </c>
      <c r="E24" s="40">
        <v>0.199855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26835597.070000052</v>
      </c>
      <c r="C29" s="42">
        <v>651915.63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1618616.35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1618616.35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28716984.260000002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28716984.260000002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143720.87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30479321.480000004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36237</v>
      </c>
      <c r="E51" s="58">
        <v>591357678.41000009</v>
      </c>
      <c r="F51" s="53"/>
      <c r="G51" s="93"/>
    </row>
    <row r="52" spans="1:7" x14ac:dyDescent="0.25">
      <c r="A52" s="46" t="s">
        <v>44</v>
      </c>
      <c r="D52" s="65"/>
      <c r="E52" s="55">
        <v>26835597.070000052</v>
      </c>
      <c r="F52" s="53"/>
      <c r="G52" s="93"/>
    </row>
    <row r="53" spans="1:7" x14ac:dyDescent="0.25">
      <c r="A53" s="46"/>
      <c r="D53" s="66">
        <v>35412</v>
      </c>
      <c r="E53" s="67">
        <v>564522081.34000003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30479321.480000004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30479321.480000004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519071.33</v>
      </c>
      <c r="F64" s="53"/>
      <c r="G64" s="93"/>
    </row>
    <row r="65" spans="1:7" x14ac:dyDescent="0.25">
      <c r="A65" s="51" t="s">
        <v>51</v>
      </c>
      <c r="E65" s="68">
        <v>519071.33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70348.960000000006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70348.960000000006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461150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461150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651915.63</v>
      </c>
      <c r="F110" s="53"/>
      <c r="G110" s="93"/>
    </row>
    <row r="111" spans="1:7" x14ac:dyDescent="0.25">
      <c r="A111" s="70" t="s">
        <v>86</v>
      </c>
      <c r="E111" s="69">
        <v>651915.63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29308334.523475002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26835597.070000052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26835597.070000052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2472737.45347495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2472737.45347495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3.0639159700000002E-2</v>
      </c>
      <c r="F153" s="53"/>
      <c r="G153" s="93"/>
    </row>
    <row r="154" spans="1:256" x14ac:dyDescent="0.25">
      <c r="A154" s="46" t="s">
        <v>114</v>
      </c>
      <c r="E154" s="79">
        <v>41.479717000000001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147581.67000000001</v>
      </c>
      <c r="E157" s="3">
        <v>13</v>
      </c>
      <c r="F157" s="80"/>
      <c r="G157" s="93"/>
    </row>
    <row r="158" spans="1:256" x14ac:dyDescent="0.25">
      <c r="A158" s="46" t="s">
        <v>116</v>
      </c>
      <c r="D158" s="74">
        <v>143720.87</v>
      </c>
      <c r="F158" s="53"/>
      <c r="G158" s="93"/>
    </row>
    <row r="159" spans="1:256" x14ac:dyDescent="0.25">
      <c r="A159" s="3" t="s">
        <v>117</v>
      </c>
      <c r="D159" s="26">
        <v>3860.8000000000175</v>
      </c>
    </row>
    <row r="160" spans="1:256" x14ac:dyDescent="0.25">
      <c r="A160" s="46" t="s">
        <v>118</v>
      </c>
      <c r="D160" s="69">
        <v>622885591.83000004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4.245861E-4</v>
      </c>
      <c r="F162" s="80"/>
      <c r="G162" s="93"/>
    </row>
    <row r="163" spans="1:7" x14ac:dyDescent="0.25">
      <c r="A163" s="46" t="s">
        <v>120</v>
      </c>
      <c r="D163" s="81">
        <v>-1.2786691000000001E-3</v>
      </c>
      <c r="F163" s="80"/>
      <c r="G163" s="93"/>
    </row>
    <row r="164" spans="1:7" x14ac:dyDescent="0.25">
      <c r="A164" s="46" t="s">
        <v>121</v>
      </c>
      <c r="D164" s="81">
        <v>3.5965420000000001E-4</v>
      </c>
      <c r="F164" s="80"/>
      <c r="G164" s="93"/>
    </row>
    <row r="165" spans="1:7" x14ac:dyDescent="0.25">
      <c r="A165" s="46" t="s">
        <v>122</v>
      </c>
      <c r="D165" s="81">
        <v>7.4378988064062709E-5</v>
      </c>
      <c r="F165" s="53"/>
      <c r="G165" s="93"/>
    </row>
    <row r="166" spans="1:7" x14ac:dyDescent="0.25">
      <c r="A166" s="46" t="s">
        <v>123</v>
      </c>
      <c r="D166" s="78">
        <v>-1.0501245298398434E-4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2671382.0699999998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2432738.13</v>
      </c>
      <c r="E171" s="83">
        <v>111</v>
      </c>
      <c r="F171" s="81">
        <v>4.0953737728629449E-3</v>
      </c>
      <c r="G171" s="93"/>
    </row>
    <row r="172" spans="1:7" x14ac:dyDescent="0.25">
      <c r="A172" s="51" t="s">
        <v>128</v>
      </c>
      <c r="D172" s="68">
        <v>455893.18</v>
      </c>
      <c r="E172" s="83">
        <v>24</v>
      </c>
      <c r="F172" s="81">
        <v>7.6746976979354771E-4</v>
      </c>
      <c r="G172" s="93"/>
    </row>
    <row r="173" spans="1:7" x14ac:dyDescent="0.25">
      <c r="A173" s="51" t="s">
        <v>129</v>
      </c>
      <c r="D173" s="23">
        <v>62050.35</v>
      </c>
      <c r="E173" s="84">
        <v>5</v>
      </c>
      <c r="F173" s="81">
        <v>1.0445817116656376E-4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2950681.66</v>
      </c>
      <c r="E175" s="83">
        <v>140</v>
      </c>
      <c r="F175" s="89">
        <v>4.9673017138230566E-3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1.0638511E-3</v>
      </c>
      <c r="E178" s="81">
        <v>9.2299579999999997E-4</v>
      </c>
      <c r="F178" s="80"/>
      <c r="G178" s="93"/>
    </row>
    <row r="179" spans="1:7" x14ac:dyDescent="0.25">
      <c r="A179" s="46" t="s">
        <v>134</v>
      </c>
      <c r="D179" s="81">
        <v>6.7438760000000002E-4</v>
      </c>
      <c r="E179" s="81">
        <v>7.0184909999999997E-4</v>
      </c>
      <c r="F179" s="80"/>
      <c r="G179" s="93"/>
    </row>
    <row r="180" spans="1:7" x14ac:dyDescent="0.25">
      <c r="A180" s="46" t="s">
        <v>135</v>
      </c>
      <c r="D180" s="81">
        <v>6.1627749999999999E-4</v>
      </c>
      <c r="E180" s="81">
        <v>7.1749870000000003E-4</v>
      </c>
      <c r="F180" s="80"/>
      <c r="G180" s="93"/>
    </row>
    <row r="181" spans="1:7" x14ac:dyDescent="0.25">
      <c r="A181" s="46" t="s">
        <v>136</v>
      </c>
      <c r="D181" s="81">
        <v>8.7192794096011136E-4</v>
      </c>
      <c r="E181" s="81">
        <v>8.1893143567152377E-4</v>
      </c>
      <c r="F181" s="53"/>
      <c r="G181" s="93"/>
    </row>
    <row r="182" spans="1:7" x14ac:dyDescent="0.25">
      <c r="A182" s="46" t="s">
        <v>137</v>
      </c>
      <c r="D182" s="81">
        <v>8.0661103524002785E-4</v>
      </c>
      <c r="E182" s="81">
        <v>7.9031875891788094E-4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581766.77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9.7937066978153928E-4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2177631.7999999998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95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E15" sqref="E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3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44424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653034251.01999998</v>
      </c>
      <c r="E10" s="23">
        <v>622885591.83000004</v>
      </c>
      <c r="F10" s="24">
        <v>0.59484583783976419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33664584.270000003</v>
      </c>
      <c r="E11" s="23">
        <v>31527913.420000002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619369666.75</v>
      </c>
      <c r="E12" s="23">
        <v>591357678.41000009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619369666.75000024</v>
      </c>
      <c r="E13" s="23">
        <v>591357678.41000032</v>
      </c>
      <c r="F13" s="24">
        <v>0.56473718174039855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86231816.560000107</v>
      </c>
      <c r="E15" s="23">
        <v>58219828.220000193</v>
      </c>
      <c r="F15" s="24">
        <v>0.16539723926136418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28011988.339999914</v>
      </c>
      <c r="C24" s="22">
        <v>104196.78</v>
      </c>
      <c r="D24" s="39">
        <v>79.57951232954521</v>
      </c>
      <c r="E24" s="40">
        <v>0.29601357954545454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28011988.339999914</v>
      </c>
      <c r="C29" s="42">
        <v>685763.45000000007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1661176.04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1661176.04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29807247.190000001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29807247.190000001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321839.78999999998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31790263.02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37045</v>
      </c>
      <c r="E51" s="58">
        <v>619369666.75</v>
      </c>
      <c r="F51" s="53"/>
      <c r="G51" s="93"/>
    </row>
    <row r="52" spans="1:7" x14ac:dyDescent="0.25">
      <c r="A52" s="46" t="s">
        <v>44</v>
      </c>
      <c r="D52" s="65"/>
      <c r="E52" s="55">
        <v>28011988.339999914</v>
      </c>
      <c r="F52" s="53"/>
      <c r="G52" s="93"/>
    </row>
    <row r="53" spans="1:7" x14ac:dyDescent="0.25">
      <c r="A53" s="46"/>
      <c r="D53" s="66">
        <v>36237</v>
      </c>
      <c r="E53" s="67">
        <v>591357678.41000009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31790263.02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31790263.02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544195.21</v>
      </c>
      <c r="F64" s="53"/>
      <c r="G64" s="93"/>
    </row>
    <row r="65" spans="1:7" x14ac:dyDescent="0.25">
      <c r="A65" s="51" t="s">
        <v>51</v>
      </c>
      <c r="E65" s="68">
        <v>544195.21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104196.78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104196.78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461150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461150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685763.45000000007</v>
      </c>
      <c r="F110" s="53"/>
      <c r="G110" s="93"/>
    </row>
    <row r="111" spans="1:7" x14ac:dyDescent="0.25">
      <c r="A111" s="70" t="s">
        <v>86</v>
      </c>
      <c r="E111" s="69">
        <v>685763.45000000007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30560304.360816665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28011988.339999914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28011988.339999914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2548316.0208167508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2548316.0208167508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3.0694428400000001E-2</v>
      </c>
      <c r="F153" s="53"/>
      <c r="G153" s="93"/>
    </row>
    <row r="154" spans="1:256" x14ac:dyDescent="0.25">
      <c r="A154" s="46" t="s">
        <v>114</v>
      </c>
      <c r="E154" s="79">
        <v>42.403725000000001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341412</v>
      </c>
      <c r="E157" s="3">
        <v>17</v>
      </c>
      <c r="F157" s="80"/>
      <c r="G157" s="93"/>
    </row>
    <row r="158" spans="1:256" x14ac:dyDescent="0.25">
      <c r="A158" s="46" t="s">
        <v>116</v>
      </c>
      <c r="D158" s="74">
        <v>321839.78999999998</v>
      </c>
      <c r="F158" s="53"/>
      <c r="G158" s="93"/>
    </row>
    <row r="159" spans="1:256" x14ac:dyDescent="0.25">
      <c r="A159" s="3" t="s">
        <v>117</v>
      </c>
      <c r="D159" s="26">
        <v>19572.210000000021</v>
      </c>
    </row>
    <row r="160" spans="1:256" x14ac:dyDescent="0.25">
      <c r="A160" s="46" t="s">
        <v>118</v>
      </c>
      <c r="D160" s="69">
        <v>653034251.01999998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1.6514584000000001E-3</v>
      </c>
      <c r="F162" s="80"/>
      <c r="G162" s="93"/>
    </row>
    <row r="163" spans="1:7" x14ac:dyDescent="0.25">
      <c r="A163" s="46" t="s">
        <v>120</v>
      </c>
      <c r="D163" s="81">
        <v>4.245861E-4</v>
      </c>
      <c r="F163" s="80"/>
      <c r="G163" s="93"/>
    </row>
    <row r="164" spans="1:7" x14ac:dyDescent="0.25">
      <c r="A164" s="46" t="s">
        <v>121</v>
      </c>
      <c r="D164" s="81">
        <v>-1.2786691000000001E-3</v>
      </c>
      <c r="F164" s="80"/>
      <c r="G164" s="93"/>
    </row>
    <row r="165" spans="1:7" x14ac:dyDescent="0.25">
      <c r="A165" s="46" t="s">
        <v>122</v>
      </c>
      <c r="D165" s="81">
        <v>3.5965421359316599E-4</v>
      </c>
      <c r="F165" s="53"/>
      <c r="G165" s="93"/>
    </row>
    <row r="166" spans="1:7" x14ac:dyDescent="0.25">
      <c r="A166" s="46" t="s">
        <v>123</v>
      </c>
      <c r="D166" s="78">
        <v>2.8925740339829151E-4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2667521.27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2243945.14</v>
      </c>
      <c r="E171" s="83">
        <v>111</v>
      </c>
      <c r="F171" s="81">
        <v>3.6024996715808204E-3</v>
      </c>
      <c r="G171" s="93"/>
    </row>
    <row r="172" spans="1:7" x14ac:dyDescent="0.25">
      <c r="A172" s="51" t="s">
        <v>128</v>
      </c>
      <c r="D172" s="68">
        <v>332747.09999999998</v>
      </c>
      <c r="E172" s="83">
        <v>19</v>
      </c>
      <c r="F172" s="81">
        <v>5.3420259573256333E-4</v>
      </c>
      <c r="G172" s="93"/>
    </row>
    <row r="173" spans="1:7" x14ac:dyDescent="0.25">
      <c r="A173" s="51" t="s">
        <v>129</v>
      </c>
      <c r="D173" s="23">
        <v>51123.27</v>
      </c>
      <c r="E173" s="84">
        <v>7</v>
      </c>
      <c r="F173" s="81">
        <v>8.2074895728127115E-5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2627815.5100000002</v>
      </c>
      <c r="E175" s="83">
        <v>137</v>
      </c>
      <c r="F175" s="89">
        <v>4.2187771630415108E-3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9.0633140000000005E-4</v>
      </c>
      <c r="E178" s="81">
        <v>8.7459810000000001E-4</v>
      </c>
      <c r="F178" s="80"/>
      <c r="G178" s="93"/>
    </row>
    <row r="179" spans="1:7" x14ac:dyDescent="0.25">
      <c r="A179" s="46" t="s">
        <v>134</v>
      </c>
      <c r="D179" s="81">
        <v>1.0638511E-3</v>
      </c>
      <c r="E179" s="81">
        <v>9.2299579999999997E-4</v>
      </c>
      <c r="F179" s="80"/>
      <c r="G179" s="93"/>
    </row>
    <row r="180" spans="1:7" x14ac:dyDescent="0.25">
      <c r="A180" s="46" t="s">
        <v>135</v>
      </c>
      <c r="D180" s="81">
        <v>6.7438760000000002E-4</v>
      </c>
      <c r="E180" s="81">
        <v>7.0184909999999997E-4</v>
      </c>
      <c r="F180" s="80"/>
      <c r="G180" s="93"/>
    </row>
    <row r="181" spans="1:7" x14ac:dyDescent="0.25">
      <c r="A181" s="46" t="s">
        <v>136</v>
      </c>
      <c r="D181" s="81">
        <v>6.1627749146069054E-4</v>
      </c>
      <c r="E181" s="81">
        <v>7.1749868918508704E-4</v>
      </c>
      <c r="F181" s="53"/>
      <c r="G181" s="93"/>
    </row>
    <row r="182" spans="1:7" x14ac:dyDescent="0.25">
      <c r="A182" s="46" t="s">
        <v>137</v>
      </c>
      <c r="D182" s="81">
        <v>8.1521189786517266E-4</v>
      </c>
      <c r="E182" s="81">
        <v>8.0423542229627178E-4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383870.37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6.1627749146069054E-4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1502367.5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70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13" sqref="E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3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44392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683755159.41999996</v>
      </c>
      <c r="E10" s="23">
        <v>653034251.01999998</v>
      </c>
      <c r="F10" s="24">
        <v>0.62363732807624983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35854928.210000001</v>
      </c>
      <c r="E11" s="23">
        <v>33664584.270000003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647900231.20999992</v>
      </c>
      <c r="E12" s="23">
        <v>619369666.75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647900231.21000004</v>
      </c>
      <c r="E13" s="23">
        <v>619369666.75</v>
      </c>
      <c r="F13" s="24">
        <v>0.59148818528297609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114762381.02</v>
      </c>
      <c r="E15" s="23">
        <v>86231816.560000077</v>
      </c>
      <c r="F15" s="24">
        <v>0.24497675159090931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28530564.459999919</v>
      </c>
      <c r="C24" s="22">
        <v>138671.21</v>
      </c>
      <c r="D24" s="39">
        <v>81.052739943181592</v>
      </c>
      <c r="E24" s="40">
        <v>0.39395230113636359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28530564.459999919</v>
      </c>
      <c r="C29" s="42">
        <v>720237.88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1770567.19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1770567.19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30378337.640000001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30378337.640000001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415428.81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32564333.640000001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37920</v>
      </c>
      <c r="E51" s="58">
        <v>647900231.20999992</v>
      </c>
      <c r="F51" s="53"/>
      <c r="G51" s="93"/>
    </row>
    <row r="52" spans="1:7" x14ac:dyDescent="0.25">
      <c r="A52" s="46" t="s">
        <v>44</v>
      </c>
      <c r="D52" s="65"/>
      <c r="E52" s="55">
        <v>28530564.459999919</v>
      </c>
      <c r="F52" s="53"/>
      <c r="G52" s="93"/>
    </row>
    <row r="53" spans="1:7" x14ac:dyDescent="0.25">
      <c r="A53" s="46"/>
      <c r="D53" s="66">
        <v>37045</v>
      </c>
      <c r="E53" s="67">
        <v>619369666.75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32564333.640000001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32564333.640000001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569795.97</v>
      </c>
      <c r="F64" s="53"/>
      <c r="G64" s="93"/>
    </row>
    <row r="65" spans="1:7" x14ac:dyDescent="0.25">
      <c r="A65" s="51" t="s">
        <v>51</v>
      </c>
      <c r="E65" s="68">
        <v>569795.97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138671.21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138671.21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461150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461150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720237.88</v>
      </c>
      <c r="F110" s="53"/>
      <c r="G110" s="93"/>
    </row>
    <row r="111" spans="1:7" x14ac:dyDescent="0.25">
      <c r="A111" s="70" t="s">
        <v>86</v>
      </c>
      <c r="E111" s="69">
        <v>720237.88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31274299.793816667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28530564.459999919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28530564.459999919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2743735.3338167481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2743735.3338167481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3.07667758E-2</v>
      </c>
      <c r="F153" s="53"/>
      <c r="G153" s="93"/>
    </row>
    <row r="154" spans="1:256" x14ac:dyDescent="0.25">
      <c r="A154" s="46" t="s">
        <v>114</v>
      </c>
      <c r="E154" s="79">
        <v>43.332621000000003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342570.76</v>
      </c>
      <c r="E157" s="3">
        <v>16</v>
      </c>
      <c r="F157" s="80"/>
      <c r="G157" s="93"/>
    </row>
    <row r="158" spans="1:256" x14ac:dyDescent="0.25">
      <c r="A158" s="46" t="s">
        <v>116</v>
      </c>
      <c r="D158" s="74">
        <v>415428.81</v>
      </c>
      <c r="F158" s="53"/>
      <c r="G158" s="93"/>
    </row>
    <row r="159" spans="1:256" x14ac:dyDescent="0.25">
      <c r="A159" s="3" t="s">
        <v>117</v>
      </c>
      <c r="D159" s="26">
        <v>-72858.049999999988</v>
      </c>
    </row>
    <row r="160" spans="1:256" x14ac:dyDescent="0.25">
      <c r="A160" s="46" t="s">
        <v>118</v>
      </c>
      <c r="D160" s="69">
        <v>683755159.41999996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1.7065042E-3</v>
      </c>
      <c r="F162" s="80"/>
      <c r="G162" s="93"/>
    </row>
    <row r="163" spans="1:7" x14ac:dyDescent="0.25">
      <c r="A163" s="46" t="s">
        <v>120</v>
      </c>
      <c r="D163" s="81">
        <v>1.6514584000000001E-3</v>
      </c>
      <c r="F163" s="80"/>
      <c r="G163" s="93"/>
    </row>
    <row r="164" spans="1:7" x14ac:dyDescent="0.25">
      <c r="A164" s="46" t="s">
        <v>121</v>
      </c>
      <c r="D164" s="81">
        <v>4.245861E-4</v>
      </c>
      <c r="F164" s="80"/>
      <c r="G164" s="93"/>
    </row>
    <row r="165" spans="1:7" x14ac:dyDescent="0.25">
      <c r="A165" s="46" t="s">
        <v>122</v>
      </c>
      <c r="D165" s="81">
        <v>-1.2786691083130225E-3</v>
      </c>
      <c r="F165" s="53"/>
      <c r="G165" s="93"/>
    </row>
    <row r="166" spans="1:7" x14ac:dyDescent="0.25">
      <c r="A166" s="46" t="s">
        <v>123</v>
      </c>
      <c r="D166" s="78">
        <v>6.2596989792174443E-4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2647949.06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1574298.99</v>
      </c>
      <c r="E171" s="83">
        <v>76</v>
      </c>
      <c r="F171" s="81">
        <v>2.4107448997369436E-3</v>
      </c>
      <c r="G171" s="93"/>
    </row>
    <row r="172" spans="1:7" x14ac:dyDescent="0.25">
      <c r="A172" s="51" t="s">
        <v>128</v>
      </c>
      <c r="D172" s="68">
        <v>314470.11</v>
      </c>
      <c r="E172" s="83">
        <v>19</v>
      </c>
      <c r="F172" s="81">
        <v>4.8155224555039295E-4</v>
      </c>
      <c r="G172" s="93"/>
    </row>
    <row r="173" spans="1:7" x14ac:dyDescent="0.25">
      <c r="A173" s="51" t="s">
        <v>129</v>
      </c>
      <c r="D173" s="23">
        <v>125928.12</v>
      </c>
      <c r="E173" s="84">
        <v>7</v>
      </c>
      <c r="F173" s="81">
        <v>1.9283539845468733E-4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2014697.2200000002</v>
      </c>
      <c r="E175" s="83">
        <v>102</v>
      </c>
      <c r="F175" s="89">
        <v>3.085132543742024E-3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7.4986550000000001E-4</v>
      </c>
      <c r="E178" s="81">
        <v>5.9795200000000001E-4</v>
      </c>
      <c r="F178" s="80"/>
      <c r="G178" s="93"/>
    </row>
    <row r="179" spans="1:7" x14ac:dyDescent="0.25">
      <c r="A179" s="46" t="s">
        <v>134</v>
      </c>
      <c r="D179" s="81">
        <v>9.0633140000000005E-4</v>
      </c>
      <c r="E179" s="81">
        <v>8.7459810000000001E-4</v>
      </c>
      <c r="F179" s="80"/>
      <c r="G179" s="93"/>
    </row>
    <row r="180" spans="1:7" x14ac:dyDescent="0.25">
      <c r="A180" s="46" t="s">
        <v>135</v>
      </c>
      <c r="D180" s="81">
        <v>1.0638511E-3</v>
      </c>
      <c r="E180" s="81">
        <v>9.2299579999999997E-4</v>
      </c>
      <c r="F180" s="80"/>
      <c r="G180" s="93"/>
    </row>
    <row r="181" spans="1:7" x14ac:dyDescent="0.25">
      <c r="A181" s="46" t="s">
        <v>136</v>
      </c>
      <c r="D181" s="81">
        <v>6.7438764400508031E-4</v>
      </c>
      <c r="E181" s="81">
        <v>7.0184910244297473E-4</v>
      </c>
      <c r="F181" s="53"/>
      <c r="G181" s="93"/>
    </row>
    <row r="182" spans="1:7" x14ac:dyDescent="0.25">
      <c r="A182" s="46" t="s">
        <v>137</v>
      </c>
      <c r="D182" s="81">
        <v>8.4860891100127013E-4</v>
      </c>
      <c r="E182" s="81">
        <v>7.7434875061074371E-4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440398.23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6.7438764400508031E-4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2315051.92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103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1" sqref="E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3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44362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713708819.29999995</v>
      </c>
      <c r="E10" s="23">
        <v>683755159.41999996</v>
      </c>
      <c r="F10" s="24">
        <v>0.65297530721092234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38125892.140000001</v>
      </c>
      <c r="E11" s="23">
        <v>35854928.210000001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675582927.15999997</v>
      </c>
      <c r="E12" s="23">
        <v>647900231.20999992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675582927.16000009</v>
      </c>
      <c r="E13" s="23">
        <v>647900231.21000004</v>
      </c>
      <c r="F13" s="24">
        <v>0.61873442077606156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142445076.97</v>
      </c>
      <c r="E15" s="23">
        <v>114762381.01999995</v>
      </c>
      <c r="F15" s="24">
        <v>0.32602949153409078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27682695.950000044</v>
      </c>
      <c r="C24" s="22">
        <v>172121.13</v>
      </c>
      <c r="D24" s="39">
        <v>78.644022585227404</v>
      </c>
      <c r="E24" s="40">
        <v>0.48898048295454549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27682695.950000044</v>
      </c>
      <c r="C29" s="42">
        <v>753687.8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1782439.47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1782439.47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29710458.609999999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29710458.609999999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217948.7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31710846.779999997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38875</v>
      </c>
      <c r="E51" s="58">
        <v>675582927.15999997</v>
      </c>
      <c r="F51" s="53"/>
      <c r="G51" s="93"/>
    </row>
    <row r="52" spans="1:7" x14ac:dyDescent="0.25">
      <c r="A52" s="46" t="s">
        <v>44</v>
      </c>
      <c r="D52" s="65"/>
      <c r="E52" s="55">
        <v>27682695.950000048</v>
      </c>
      <c r="F52" s="53"/>
      <c r="G52" s="93"/>
    </row>
    <row r="53" spans="1:7" x14ac:dyDescent="0.25">
      <c r="A53" s="46"/>
      <c r="D53" s="66">
        <v>37920</v>
      </c>
      <c r="E53" s="67">
        <v>647900231.20999992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31710846.779999997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31710846.779999997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594757.35</v>
      </c>
      <c r="F64" s="53"/>
      <c r="G64" s="93"/>
    </row>
    <row r="65" spans="1:7" x14ac:dyDescent="0.25">
      <c r="A65" s="51" t="s">
        <v>51</v>
      </c>
      <c r="E65" s="68">
        <v>594757.35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172121.13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172121.13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461150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461150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753687.8</v>
      </c>
      <c r="F110" s="53"/>
      <c r="G110" s="93"/>
    </row>
    <row r="111" spans="1:7" x14ac:dyDescent="0.25">
      <c r="A111" s="70" t="s">
        <v>86</v>
      </c>
      <c r="E111" s="69">
        <v>753687.8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30362401.630583331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27682695.950000044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27682695.950000044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2679705.680583287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2679705.680583287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3.0868283199999999E-2</v>
      </c>
      <c r="F153" s="53"/>
      <c r="G153" s="93"/>
    </row>
    <row r="154" spans="1:256" x14ac:dyDescent="0.25">
      <c r="A154" s="46" t="s">
        <v>114</v>
      </c>
      <c r="E154" s="79">
        <v>44.266039999999997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243201.27</v>
      </c>
      <c r="E157" s="3">
        <v>12</v>
      </c>
      <c r="F157" s="80"/>
      <c r="G157" s="93"/>
    </row>
    <row r="158" spans="1:256" x14ac:dyDescent="0.25">
      <c r="A158" s="46" t="s">
        <v>116</v>
      </c>
      <c r="D158" s="74">
        <v>217948.7</v>
      </c>
      <c r="F158" s="53"/>
      <c r="G158" s="93"/>
    </row>
    <row r="159" spans="1:256" x14ac:dyDescent="0.25">
      <c r="A159" s="3" t="s">
        <v>117</v>
      </c>
      <c r="D159" s="26">
        <v>25252.569999999978</v>
      </c>
    </row>
    <row r="160" spans="1:256" x14ac:dyDescent="0.25">
      <c r="A160" s="46" t="s">
        <v>118</v>
      </c>
      <c r="D160" s="69">
        <v>713708819.29999995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-4.1955300000000003E-4</v>
      </c>
      <c r="F162" s="80"/>
      <c r="G162" s="93"/>
    </row>
    <row r="163" spans="1:7" x14ac:dyDescent="0.25">
      <c r="A163" s="46" t="s">
        <v>120</v>
      </c>
      <c r="D163" s="81">
        <v>1.7065042E-3</v>
      </c>
      <c r="F163" s="80"/>
      <c r="G163" s="93"/>
    </row>
    <row r="164" spans="1:7" x14ac:dyDescent="0.25">
      <c r="A164" s="46" t="s">
        <v>121</v>
      </c>
      <c r="D164" s="81">
        <v>1.6514584000000001E-3</v>
      </c>
      <c r="F164" s="80"/>
      <c r="G164" s="93"/>
    </row>
    <row r="165" spans="1:7" x14ac:dyDescent="0.25">
      <c r="A165" s="46" t="s">
        <v>122</v>
      </c>
      <c r="D165" s="81">
        <v>4.2458609422426643E-4</v>
      </c>
      <c r="F165" s="53"/>
      <c r="G165" s="93"/>
    </row>
    <row r="166" spans="1:7" x14ac:dyDescent="0.25">
      <c r="A166" s="46" t="s">
        <v>123</v>
      </c>
      <c r="D166" s="78">
        <v>8.4074892355606658E-4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2720807.11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1852263.94</v>
      </c>
      <c r="E171" s="83">
        <v>99</v>
      </c>
      <c r="F171" s="81">
        <v>2.7089578988642596E-3</v>
      </c>
      <c r="G171" s="93"/>
    </row>
    <row r="172" spans="1:7" x14ac:dyDescent="0.25">
      <c r="A172" s="51" t="s">
        <v>128</v>
      </c>
      <c r="D172" s="68">
        <v>463284.65</v>
      </c>
      <c r="E172" s="83">
        <v>23</v>
      </c>
      <c r="F172" s="81">
        <v>6.7755927486234176E-4</v>
      </c>
      <c r="G172" s="93"/>
    </row>
    <row r="173" spans="1:7" x14ac:dyDescent="0.25">
      <c r="A173" s="51" t="s">
        <v>129</v>
      </c>
      <c r="D173" s="23">
        <v>264129.03000000003</v>
      </c>
      <c r="E173" s="84">
        <v>12</v>
      </c>
      <c r="F173" s="81">
        <v>3.8629182736119944E-4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2579677.62</v>
      </c>
      <c r="E175" s="83">
        <v>134</v>
      </c>
      <c r="F175" s="89">
        <v>3.7728090010878007E-3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1.0693663000000001E-3</v>
      </c>
      <c r="E178" s="81">
        <v>9.6299679999999998E-4</v>
      </c>
      <c r="F178" s="80"/>
      <c r="G178" s="93"/>
    </row>
    <row r="179" spans="1:7" x14ac:dyDescent="0.25">
      <c r="A179" s="46" t="s">
        <v>134</v>
      </c>
      <c r="D179" s="81">
        <v>7.4986550000000001E-4</v>
      </c>
      <c r="E179" s="81">
        <v>5.9795200000000001E-4</v>
      </c>
      <c r="F179" s="80"/>
      <c r="G179" s="93"/>
    </row>
    <row r="180" spans="1:7" x14ac:dyDescent="0.25">
      <c r="A180" s="46" t="s">
        <v>135</v>
      </c>
      <c r="D180" s="81">
        <v>9.0633140000000005E-4</v>
      </c>
      <c r="E180" s="81">
        <v>8.7459810000000001E-4</v>
      </c>
      <c r="F180" s="80"/>
      <c r="G180" s="93"/>
    </row>
    <row r="181" spans="1:7" x14ac:dyDescent="0.25">
      <c r="A181" s="46" t="s">
        <v>136</v>
      </c>
      <c r="D181" s="81">
        <v>1.0638511022235413E-3</v>
      </c>
      <c r="E181" s="81">
        <v>9.229957805907173E-4</v>
      </c>
      <c r="F181" s="53"/>
      <c r="G181" s="93"/>
    </row>
    <row r="182" spans="1:7" x14ac:dyDescent="0.25">
      <c r="A182" s="46" t="s">
        <v>137</v>
      </c>
      <c r="D182" s="81">
        <v>9.4735357555588524E-4</v>
      </c>
      <c r="E182" s="81">
        <v>8.3963567014767935E-4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744650.01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1.0890594385154688E-3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1648856.04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73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E14" sqref="E1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3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1119632940.8099999</v>
      </c>
      <c r="D10" s="22">
        <v>744953892.74000001</v>
      </c>
      <c r="E10" s="23">
        <v>713708819.29999995</v>
      </c>
      <c r="F10" s="24">
        <v>0.68158057620637025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72495090.620000005</v>
      </c>
      <c r="D11" s="22">
        <v>40489955.020000003</v>
      </c>
      <c r="E11" s="23">
        <v>38125892.140000001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1047137850.1899999</v>
      </c>
      <c r="D12" s="22">
        <v>704463937.72000003</v>
      </c>
      <c r="E12" s="23">
        <v>675582927.15999997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1047137850.1900001</v>
      </c>
      <c r="D13" s="22">
        <v>704463937.72000003</v>
      </c>
      <c r="E13" s="23">
        <v>675582927.15999985</v>
      </c>
      <c r="F13" s="24">
        <v>0.64517095532113311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9.7792999999999995E-3</v>
      </c>
      <c r="C14" s="99">
        <v>162000000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1.4500000000000001E-2</v>
      </c>
      <c r="C15" s="99">
        <v>352000000</v>
      </c>
      <c r="D15" s="22">
        <v>171326087.53</v>
      </c>
      <c r="E15" s="23">
        <v>142445076.96999994</v>
      </c>
      <c r="F15" s="24">
        <v>0.40467351411931801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0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1.38E-2</v>
      </c>
      <c r="C17" s="99">
        <v>401000000</v>
      </c>
      <c r="D17" s="22">
        <v>401000000</v>
      </c>
      <c r="E17" s="23">
        <v>401000000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1.7000000000000001E-2</v>
      </c>
      <c r="C18" s="99">
        <v>85000000</v>
      </c>
      <c r="D18" s="22">
        <v>85000000</v>
      </c>
      <c r="E18" s="23">
        <v>85000000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47137850.189999998</v>
      </c>
      <c r="D19" s="22">
        <v>47137850.189999998</v>
      </c>
      <c r="E19" s="23">
        <v>47137850.189999998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28881010.560000062</v>
      </c>
      <c r="C24" s="22">
        <v>207019.02</v>
      </c>
      <c r="D24" s="39">
        <v>82.048325454545633</v>
      </c>
      <c r="E24" s="40">
        <v>0.58812221590909086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461150</v>
      </c>
      <c r="D26" s="39">
        <v>0</v>
      </c>
      <c r="E26" s="40">
        <v>1.1499999999999999</v>
      </c>
      <c r="F26" s="36"/>
    </row>
    <row r="27" spans="1:13" x14ac:dyDescent="0.25">
      <c r="A27" s="32" t="s">
        <v>22</v>
      </c>
      <c r="B27" s="22">
        <v>0</v>
      </c>
      <c r="C27" s="22">
        <v>120416.67</v>
      </c>
      <c r="D27" s="39">
        <v>0</v>
      </c>
      <c r="E27" s="40">
        <v>1.416666705882353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28881010.560000062</v>
      </c>
      <c r="C29" s="42">
        <v>788585.69000000006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1908380.87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1908380.87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30681986.809999999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30681986.809999999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460564.93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33050932.609999999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40137</v>
      </c>
      <c r="E51" s="58">
        <v>704463937.72000003</v>
      </c>
      <c r="F51" s="53"/>
      <c r="G51" s="93"/>
    </row>
    <row r="52" spans="1:7" x14ac:dyDescent="0.25">
      <c r="A52" s="46" t="s">
        <v>44</v>
      </c>
      <c r="D52" s="65"/>
      <c r="E52" s="55">
        <v>28881010.560000062</v>
      </c>
      <c r="F52" s="53"/>
      <c r="G52" s="93"/>
    </row>
    <row r="53" spans="1:7" x14ac:dyDescent="0.25">
      <c r="A53" s="46"/>
      <c r="D53" s="66">
        <v>38875</v>
      </c>
      <c r="E53" s="67">
        <v>675582927.15999997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33050932.609999999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33050932.609999999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620794.91</v>
      </c>
      <c r="F64" s="53"/>
      <c r="G64" s="93"/>
    </row>
    <row r="65" spans="1:7" x14ac:dyDescent="0.25">
      <c r="A65" s="51" t="s">
        <v>51</v>
      </c>
      <c r="E65" s="68">
        <v>620794.91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207019.02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207019.02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461150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461150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120416.67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120416.67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788585.69000000006</v>
      </c>
      <c r="F110" s="53"/>
      <c r="G110" s="93"/>
    </row>
    <row r="111" spans="1:7" x14ac:dyDescent="0.25">
      <c r="A111" s="70" t="s">
        <v>86</v>
      </c>
      <c r="E111" s="69">
        <v>788585.69000000006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31641552.009383332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28881010.560000062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28881010.560000062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2760541.44938327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2760541.44938327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10471378.5</v>
      </c>
      <c r="F143" s="53"/>
      <c r="G143" s="93"/>
    </row>
    <row r="144" spans="1:7" x14ac:dyDescent="0.25">
      <c r="A144" s="46" t="s">
        <v>107</v>
      </c>
      <c r="E144" s="69">
        <v>10471378.5</v>
      </c>
      <c r="F144" s="75"/>
      <c r="G144" s="93"/>
    </row>
    <row r="145" spans="1:256" x14ac:dyDescent="0.25">
      <c r="A145" s="46" t="s">
        <v>108</v>
      </c>
      <c r="E145" s="68">
        <v>10471378.5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10471378.5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10471378.5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3.08778015E-2</v>
      </c>
      <c r="F153" s="53"/>
      <c r="G153" s="93"/>
    </row>
    <row r="154" spans="1:256" x14ac:dyDescent="0.25">
      <c r="A154" s="46" t="s">
        <v>114</v>
      </c>
      <c r="E154" s="79">
        <v>45.159835999999999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563086.63</v>
      </c>
      <c r="E157" s="3">
        <v>22</v>
      </c>
      <c r="F157" s="80"/>
      <c r="G157" s="93"/>
    </row>
    <row r="158" spans="1:256" x14ac:dyDescent="0.25">
      <c r="A158" s="46" t="s">
        <v>116</v>
      </c>
      <c r="D158" s="74">
        <v>460564.93</v>
      </c>
      <c r="F158" s="53"/>
      <c r="G158" s="93"/>
    </row>
    <row r="159" spans="1:256" x14ac:dyDescent="0.25">
      <c r="A159" s="3" t="s">
        <v>117</v>
      </c>
      <c r="D159" s="26">
        <v>102521.70000000001</v>
      </c>
    </row>
    <row r="160" spans="1:256" x14ac:dyDescent="0.25">
      <c r="A160" s="46" t="s">
        <v>118</v>
      </c>
      <c r="D160" s="69">
        <v>744953892.74000001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4.7332095000000001E-3</v>
      </c>
      <c r="F162" s="80"/>
      <c r="G162" s="93"/>
    </row>
    <row r="163" spans="1:7" x14ac:dyDescent="0.25">
      <c r="A163" s="46" t="s">
        <v>120</v>
      </c>
      <c r="D163" s="81">
        <v>-4.1955300000000003E-4</v>
      </c>
      <c r="F163" s="80"/>
      <c r="G163" s="93"/>
    </row>
    <row r="164" spans="1:7" x14ac:dyDescent="0.25">
      <c r="A164" s="46" t="s">
        <v>121</v>
      </c>
      <c r="D164" s="81">
        <v>1.7065042E-3</v>
      </c>
      <c r="F164" s="80"/>
      <c r="G164" s="93"/>
    </row>
    <row r="165" spans="1:7" x14ac:dyDescent="0.25">
      <c r="A165" s="46" t="s">
        <v>122</v>
      </c>
      <c r="D165" s="81">
        <v>1.6514584486229127E-3</v>
      </c>
      <c r="F165" s="53"/>
      <c r="G165" s="93"/>
    </row>
    <row r="166" spans="1:7" x14ac:dyDescent="0.25">
      <c r="A166" s="46" t="s">
        <v>123</v>
      </c>
      <c r="D166" s="78">
        <v>1.9179047871557284E-3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2695554.5399999996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1469891.02</v>
      </c>
      <c r="E171" s="83">
        <v>70</v>
      </c>
      <c r="F171" s="81">
        <v>2.0595107980333738E-3</v>
      </c>
      <c r="G171" s="93"/>
    </row>
    <row r="172" spans="1:7" x14ac:dyDescent="0.25">
      <c r="A172" s="51" t="s">
        <v>128</v>
      </c>
      <c r="D172" s="68">
        <v>505752.47</v>
      </c>
      <c r="E172" s="83">
        <v>27</v>
      </c>
      <c r="F172" s="81">
        <v>7.0862578172431446E-4</v>
      </c>
      <c r="G172" s="93"/>
    </row>
    <row r="173" spans="1:7" x14ac:dyDescent="0.25">
      <c r="A173" s="51" t="s">
        <v>129</v>
      </c>
      <c r="D173" s="23">
        <v>141104.25</v>
      </c>
      <c r="E173" s="84">
        <v>7</v>
      </c>
      <c r="F173" s="81">
        <v>1.9770562753924486E-4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2116747.7400000002</v>
      </c>
      <c r="E175" s="83">
        <v>104</v>
      </c>
      <c r="F175" s="89">
        <v>2.9658422072969329E-3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8.9801119999999995E-4</v>
      </c>
      <c r="E178" s="81">
        <v>9.4210750000000003E-4</v>
      </c>
      <c r="F178" s="80"/>
      <c r="G178" s="93"/>
    </row>
    <row r="179" spans="1:7" x14ac:dyDescent="0.25">
      <c r="A179" s="46" t="s">
        <v>134</v>
      </c>
      <c r="D179" s="81">
        <v>1.0693663000000001E-3</v>
      </c>
      <c r="E179" s="81">
        <v>9.6299679999999998E-4</v>
      </c>
      <c r="F179" s="80"/>
      <c r="G179" s="93"/>
    </row>
    <row r="180" spans="1:7" x14ac:dyDescent="0.25">
      <c r="A180" s="46" t="s">
        <v>135</v>
      </c>
      <c r="D180" s="81">
        <v>7.4986550000000001E-4</v>
      </c>
      <c r="E180" s="81">
        <v>5.9795200000000001E-4</v>
      </c>
      <c r="F180" s="80"/>
      <c r="G180" s="93"/>
    </row>
    <row r="181" spans="1:7" x14ac:dyDescent="0.25">
      <c r="A181" s="46" t="s">
        <v>136</v>
      </c>
      <c r="D181" s="81">
        <v>9.0633140926355937E-4</v>
      </c>
      <c r="E181" s="81">
        <v>8.7459807073954983E-4</v>
      </c>
      <c r="F181" s="53"/>
      <c r="G181" s="93"/>
    </row>
    <row r="182" spans="1:7" x14ac:dyDescent="0.25">
      <c r="A182" s="46" t="s">
        <v>137</v>
      </c>
      <c r="D182" s="81">
        <v>9.0589360231588983E-4</v>
      </c>
      <c r="E182" s="81">
        <v>8.4441359268488752E-4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668819.31999999995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9.3710390275963344E-4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1336668.76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20-A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2022-02-14T20:58:02Z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