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RP\TREASURY\EXCEL\OwnerTrust23B\ABS6\Salesforce\"/>
    </mc:Choice>
  </mc:AlternateContent>
  <xr:revisionPtr revIDLastSave="0" documentId="13_ncr:1_{E97CE128-F4F8-43F9-9910-5A1052078B65}" xr6:coauthVersionLast="47" xr6:coauthVersionMax="47" xr10:uidLastSave="{00000000-0000-0000-0000-000000000000}"/>
  <bookViews>
    <workbookView xWindow="-28920" yWindow="-120" windowWidth="29040" windowHeight="15840" xr2:uid="{4C397067-9424-4C07-83ED-267E25B349D5}"/>
  </bookViews>
  <sheets>
    <sheet name="Dec23" sheetId="17" r:id="rId1"/>
    <sheet name="Nov23" sheetId="16" r:id="rId2"/>
    <sheet name="Oct23" sheetId="15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1_BegBal" localSheetId="0">[5]Notes!$C$4</definedName>
    <definedName name="A1_BegBal" localSheetId="1">[4]Notes!$C$4</definedName>
    <definedName name="A1_BegBal" localSheetId="2">[2]Notes!$C$4</definedName>
    <definedName name="A1_BegBal">[1]Notes!$C$4</definedName>
    <definedName name="A1_EndBal" localSheetId="0">[5]Notes!$P$4</definedName>
    <definedName name="A1_EndBal" localSheetId="1">[4]Notes!$P$4</definedName>
    <definedName name="A1_EndBal" localSheetId="2">[2]Notes!$P$4</definedName>
    <definedName name="A1_EndBal">[1]Notes!$P$4</definedName>
    <definedName name="A1_FinalDist" localSheetId="0">[5]Notes!$C$23</definedName>
    <definedName name="A1_FinalDist" localSheetId="1">[4]Notes!$C$23</definedName>
    <definedName name="A1_FinalDist" localSheetId="2">[2]Notes!$C$23</definedName>
    <definedName name="A1_FinalDist">[1]Notes!$C$23</definedName>
    <definedName name="A2_FinalDist" localSheetId="0">[5]Notes!$C$24</definedName>
    <definedName name="A2_FinalDist" localSheetId="1">[4]Notes!$C$24</definedName>
    <definedName name="A2_FinalDist" localSheetId="2">[2]Notes!$C$24</definedName>
    <definedName name="A2_FinalDist">[1]Notes!$C$24</definedName>
    <definedName name="A2a_BegBal" localSheetId="0">[5]Notes!$C$5</definedName>
    <definedName name="A2a_BegBal" localSheetId="1">[4]Notes!$C$5</definedName>
    <definedName name="A2a_BegBal" localSheetId="2">[2]Notes!$C$5</definedName>
    <definedName name="A2a_BegBal">[1]Notes!$C$5</definedName>
    <definedName name="A2a_EndBal" localSheetId="0">[5]Notes!$P$5</definedName>
    <definedName name="A2a_EndBal" localSheetId="1">[4]Notes!$P$5</definedName>
    <definedName name="A2a_EndBal" localSheetId="2">[2]Notes!$P$5</definedName>
    <definedName name="A2a_EndBal">[1]Notes!$P$5</definedName>
    <definedName name="A2b_BegBal" localSheetId="0">[5]Notes!$C$6</definedName>
    <definedName name="A2b_BegBal" localSheetId="1">[4]Notes!$C$6</definedName>
    <definedName name="A2b_BegBal" localSheetId="2">[2]Notes!$C$6</definedName>
    <definedName name="A2b_BegBal">[1]Notes!$C$6</definedName>
    <definedName name="A2b_EndBal" localSheetId="0">[5]Notes!$P$6</definedName>
    <definedName name="A2b_EndBal" localSheetId="1">[4]Notes!$P$6</definedName>
    <definedName name="A2b_EndBal" localSheetId="2">[2]Notes!$P$6</definedName>
    <definedName name="A2b_EndBal">[1]Notes!$P$6</definedName>
    <definedName name="A3_BegBal" localSheetId="0">[5]Notes!$C$7</definedName>
    <definedName name="A3_BegBal" localSheetId="1">[4]Notes!$C$7</definedName>
    <definedName name="A3_BegBal" localSheetId="2">[2]Notes!$C$7</definedName>
    <definedName name="A3_BegBal">[1]Notes!$C$7</definedName>
    <definedName name="A3_EndBal" localSheetId="0">[5]Notes!$P$7</definedName>
    <definedName name="A3_EndBal" localSheetId="1">[4]Notes!$P$7</definedName>
    <definedName name="A3_EndBal" localSheetId="2">[2]Notes!$P$7</definedName>
    <definedName name="A3_EndBal">[1]Notes!$P$7</definedName>
    <definedName name="A3_FinalDist" localSheetId="0">[5]Notes!$C$26</definedName>
    <definedName name="A3_FinalDist" localSheetId="1">[4]Notes!$C$26</definedName>
    <definedName name="A3_FinalDist" localSheetId="2">[2]Notes!$C$26</definedName>
    <definedName name="A3_FinalDist">[1]Notes!$C$26</definedName>
    <definedName name="A3B_BegBal" localSheetId="0">[5]Notes!#REF!</definedName>
    <definedName name="A3B_BegBal" localSheetId="1">[4]Notes!#REF!</definedName>
    <definedName name="A3B_BegBal" localSheetId="2">[2]Notes!#REF!</definedName>
    <definedName name="A3B_BegBal">[1]Notes!#REF!</definedName>
    <definedName name="A3B_EndBal" localSheetId="0">[5]Notes!#REF!</definedName>
    <definedName name="A3B_EndBal" localSheetId="1">[4]Notes!#REF!</definedName>
    <definedName name="A3B_EndBal" localSheetId="2">[2]Notes!#REF!</definedName>
    <definedName name="A3B_EndBal">[1]Notes!#REF!</definedName>
    <definedName name="A3B_FinalDist" localSheetId="0">[5]Notes!#REF!</definedName>
    <definedName name="A3B_FinalDist" localSheetId="1">[4]Notes!#REF!</definedName>
    <definedName name="A3B_FinalDist" localSheetId="2">[2]Notes!#REF!</definedName>
    <definedName name="A3B_FinalDist">[1]Notes!#REF!</definedName>
    <definedName name="A4_BegBal" localSheetId="0">[5]Notes!$C$8</definedName>
    <definedName name="A4_BegBal" localSheetId="1">[4]Notes!$C$8</definedName>
    <definedName name="A4_BegBal" localSheetId="2">[2]Notes!$C$8</definedName>
    <definedName name="A4_BegBal">[1]Notes!$C$8</definedName>
    <definedName name="A4_EndBal" localSheetId="0">[5]Notes!$P$8</definedName>
    <definedName name="A4_EndBal" localSheetId="1">[4]Notes!$P$8</definedName>
    <definedName name="A4_EndBal" localSheetId="2">[2]Notes!$P$8</definedName>
    <definedName name="A4_EndBal">[1]Notes!$P$8</definedName>
    <definedName name="A4_FinalDist" localSheetId="0">[5]Notes!$C$27</definedName>
    <definedName name="A4_FinalDist" localSheetId="1">[4]Notes!$C$27</definedName>
    <definedName name="A4_FinalDist" localSheetId="2">[2]Notes!$C$27</definedName>
    <definedName name="A4_FinalDist">[1]Notes!$C$27</definedName>
    <definedName name="Adj_BegBal" localSheetId="0">[5]Collateral!$B$8</definedName>
    <definedName name="Adj_BegBal" localSheetId="1">[4]Collateral!$B$8</definedName>
    <definedName name="Adj_BegBal" localSheetId="2">[2]Collateral!$B$8</definedName>
    <definedName name="Adj_BegBal">[1]Collateral!$B$8</definedName>
    <definedName name="Adj_EndBal" localSheetId="0">[5]Collateral!$B$9</definedName>
    <definedName name="Adj_EndBal" localSheetId="1">[4]Collateral!$B$9</definedName>
    <definedName name="Adj_EndBal" localSheetId="2">[2]Collateral!$B$9</definedName>
    <definedName name="Adj_EndBal">[1]Collateral!$B$9</definedName>
    <definedName name="Avail_Amt" localSheetId="0">[5]Waterfall!$C$7</definedName>
    <definedName name="Avail_Amt" localSheetId="1">[4]Waterfall!$C$7</definedName>
    <definedName name="Avail_Amt" localSheetId="2">[2]Waterfall!$C$7</definedName>
    <definedName name="Avail_Amt">[1]Waterfall!$C$7</definedName>
    <definedName name="Cert_BegBal" localSheetId="0">[5]Notes!$C$9</definedName>
    <definedName name="Cert_BegBal" localSheetId="1">[4]Notes!$C$9</definedName>
    <definedName name="Cert_BegBal" localSheetId="2">[2]Notes!$C$9</definedName>
    <definedName name="Cert_BegBal">[1]Notes!$C$9</definedName>
    <definedName name="Cert_EndBal" localSheetId="0">[5]Notes!$P$9</definedName>
    <definedName name="Cert_EndBal" localSheetId="1">[4]Notes!$P$9</definedName>
    <definedName name="Cert_EndBal" localSheetId="2">[2]Notes!$P$9</definedName>
    <definedName name="Cert_EndBal">[1]Notes!$P$9</definedName>
    <definedName name="Coll_BegBal" localSheetId="0">[5]Collateral!$B$4</definedName>
    <definedName name="Coll_BegBal" localSheetId="1">[4]Collateral!$B$4</definedName>
    <definedName name="Coll_BegBal" localSheetId="2">[2]Collateral!$B$4</definedName>
    <definedName name="Coll_BegBal">[1]Collateral!$B$4</definedName>
    <definedName name="Coll_EndBal" localSheetId="0">[5]Collateral!$B$5</definedName>
    <definedName name="Coll_EndBal" localSheetId="1">[4]Collateral!$B$5</definedName>
    <definedName name="Coll_EndBal" localSheetId="2">[2]Collateral!$B$5</definedName>
    <definedName name="Coll_EndBal">[1]Collateral!$B$5</definedName>
    <definedName name="Curr_DistDate" localSheetId="0">[5]Notes!$C$18</definedName>
    <definedName name="Curr_DistDate" localSheetId="1">[4]Notes!$C$18</definedName>
    <definedName name="Curr_DistDate" localSheetId="2">[2]Notes!$C$18</definedName>
    <definedName name="Curr_DistDate">[1]Notes!$C$18</definedName>
    <definedName name="Events_of_Default" localSheetId="0">[5]Waterfall!$B$4</definedName>
    <definedName name="Events_of_Default" localSheetId="1">[4]Waterfall!$B$4</definedName>
    <definedName name="Events_of_Default" localSheetId="2">[2]Waterfall!$B$4</definedName>
    <definedName name="Events_of_Default">[1]Waterfall!$B$4</definedName>
    <definedName name="First_DistDate" localSheetId="0">[5]Notes!$C$16</definedName>
    <definedName name="First_DistDate" localSheetId="1">[4]Notes!$C$16</definedName>
    <definedName name="First_DistDate" localSheetId="2">[2]Notes!$C$16</definedName>
    <definedName name="First_DistDate">[1]Notes!$C$16</definedName>
    <definedName name="HTML_CodePage" hidden="1">1252</definedName>
    <definedName name="HTML_Control" localSheetId="0" hidden="1">{"'Filing Version'!$A$1:$F$168"}</definedName>
    <definedName name="HTML_Control" localSheetId="1" hidden="1">{"'Filing Version'!$A$1:$F$168"}</definedName>
    <definedName name="HTML_Control" localSheetId="2" hidden="1">{"'Filing Version'!$A$1:$F$168"}</definedName>
    <definedName name="HTML_Control" hidden="1">{"'Filing Version'!$A$1:$F$168"}</definedName>
    <definedName name="HTML_Control_1" localSheetId="0" hidden="1">{"'Filing Version'!$A$1:$F$168"}</definedName>
    <definedName name="HTML_Control_1" localSheetId="1" hidden="1">{"'Filing Version'!$A$1:$F$168"}</definedName>
    <definedName name="HTML_Control_1" localSheetId="2" hidden="1">{"'Filing Version'!$A$1:$F$168"}</definedName>
    <definedName name="HTML_Description" hidden="1">"NAR 2002-C"</definedName>
    <definedName name="HTML_Email" hidden="1">""</definedName>
    <definedName name="HTML_Header" hidden="1">""</definedName>
    <definedName name="HTML_LastUpdate" hidden="1">"12/09/2002"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"Q:\TREASURY\EXCEL\OwnerTrust02C\HTML_02C_113002.htm"</definedName>
    <definedName name="HTML_Title" hidden="1">""</definedName>
    <definedName name="OC_BegBal" localSheetId="0">[5]Collateral!$B$6</definedName>
    <definedName name="OC_BegBal" localSheetId="1">[4]Collateral!$B$6</definedName>
    <definedName name="OC_BegBal" localSheetId="2">[2]Collateral!$B$6</definedName>
    <definedName name="OC_BegBal">[1]Collateral!$B$6</definedName>
    <definedName name="OC_EndBal" localSheetId="0">[5]Collateral!$B$7</definedName>
    <definedName name="OC_EndBal" localSheetId="1">[4]Collateral!$B$7</definedName>
    <definedName name="OC_EndBal" localSheetId="2">[2]Collateral!$B$7</definedName>
    <definedName name="OC_EndBal">[1]Collateral!$B$7</definedName>
    <definedName name="Officer" localSheetId="0">#REF!</definedName>
    <definedName name="Officer" localSheetId="1">#REF!</definedName>
    <definedName name="Officer" localSheetId="2">#REF!</definedName>
    <definedName name="Officer">#REF!</definedName>
    <definedName name="Prev_DistDate" localSheetId="0">[5]Notes!$C$17</definedName>
    <definedName name="Prev_DistDate" localSheetId="1">[4]Notes!$C$17</definedName>
    <definedName name="Prev_DistDate" localSheetId="2">[2]Notes!$C$17</definedName>
    <definedName name="Prev_DistDate">[1]Notes!$C$17</definedName>
    <definedName name="prinatRAP" localSheetId="0">#REF!</definedName>
    <definedName name="prinatRAP" localSheetId="1">#REF!</definedName>
    <definedName name="prinatRAP" localSheetId="2">#REF!</definedName>
    <definedName name="prinatRAP">#REF!</definedName>
    <definedName name="Res_Fund" localSheetId="0">[5]Waterfall!$D$7</definedName>
    <definedName name="Res_Fund" localSheetId="1">[4]Waterfall!$D$7</definedName>
    <definedName name="Res_Fund" localSheetId="2">[2]Waterfall!$D$7</definedName>
    <definedName name="Res_Fund">[1]Waterfall!$D$7</definedName>
    <definedName name="Rescission" localSheetId="0">[5]Waterfall!$B$3</definedName>
    <definedName name="Rescission" localSheetId="1">[4]Waterfall!$B$3</definedName>
    <definedName name="Rescission" localSheetId="2">[2]Waterfall!$B$3</definedName>
    <definedName name="Rescission">[1]Waterfall!$B$3</definedName>
    <definedName name="test" localSheetId="0">#REF!</definedName>
    <definedName name="test" localSheetId="1">#REF!</definedName>
    <definedName name="test" localSheetId="2">#REF!</definedName>
    <definedName name="test">#REF!</definedName>
    <definedName name="Title" localSheetId="0">#REF!</definedName>
    <definedName name="Title" localSheetId="1">#REF!</definedName>
    <definedName name="Title" localSheetId="2">#REF!</definedName>
    <definedName name="Title">#REF!</definedName>
    <definedName name="wrn.0205." localSheetId="0" hidden="1">{"0205",#N/A,FALSE,"0205"}</definedName>
    <definedName name="wrn.0205." localSheetId="1" hidden="1">{"0205",#N/A,FALSE,"0205"}</definedName>
    <definedName name="wrn.0205." localSheetId="2" hidden="1">{"0205",#N/A,FALSE,"0205"}</definedName>
    <definedName name="wrn.0205." hidden="1">{"0205",#N/A,FALSE,"0205"}</definedName>
    <definedName name="wrn.0205._1" localSheetId="0" hidden="1">{"0205",#N/A,FALSE,"0205"}</definedName>
    <definedName name="wrn.0205._1" localSheetId="1" hidden="1">{"0205",#N/A,FALSE,"0205"}</definedName>
    <definedName name="wrn.0205._1" localSheetId="2" hidden="1">{"0205",#N/A,FALSE,"0205"}</definedName>
    <definedName name="wrn.0208." localSheetId="0" hidden="1">{"0208",#N/A,FALSE,"0205"}</definedName>
    <definedName name="wrn.0208." localSheetId="1" hidden="1">{"0208",#N/A,FALSE,"0205"}</definedName>
    <definedName name="wrn.0208." localSheetId="2" hidden="1">{"0208",#N/A,FALSE,"0205"}</definedName>
    <definedName name="wrn.0208." hidden="1">{"0208",#N/A,FALSE,"0205"}</definedName>
    <definedName name="wrn.0208._1" localSheetId="0" hidden="1">{"0208",#N/A,FALSE,"0205"}</definedName>
    <definedName name="wrn.0208._1" localSheetId="1" hidden="1">{"0208",#N/A,FALSE,"0205"}</definedName>
    <definedName name="wrn.0208._1" localSheetId="2" hidden="1">{"0208",#N/A,FALSE,"0205"}</definedName>
    <definedName name="wrn.TEST." localSheetId="0" hidden="1">{"TEST",#N/A,FALSE,"TEST"}</definedName>
    <definedName name="wrn.TEST." localSheetId="1" hidden="1">{"TEST",#N/A,FALSE,"TEST"}</definedName>
    <definedName name="wrn.TEST." localSheetId="2" hidden="1">{"TEST",#N/A,FALSE,"TEST"}</definedName>
    <definedName name="wrn.TEST." hidden="1">{"TEST",#N/A,FALSE,"TEST"}</definedName>
    <definedName name="wrn.TEST._1" localSheetId="0" hidden="1">{"TEST",#N/A,FALSE,"TEST"}</definedName>
    <definedName name="wrn.TEST._1" localSheetId="1" hidden="1">{"TEST",#N/A,FALSE,"TEST"}</definedName>
    <definedName name="wrn.TEST._1" localSheetId="2" hidden="1">{"TEST",#N/A,FALSE,"TEST"}</definedName>
    <definedName name="wrn.TMPL." localSheetId="0" hidden="1">{"TMPL",#N/A,FALSE,"TMPL"}</definedName>
    <definedName name="wrn.TMPL." localSheetId="1" hidden="1">{"TMPL",#N/A,FALSE,"TMPL"}</definedName>
    <definedName name="wrn.TMPL." localSheetId="2" hidden="1">{"TMPL",#N/A,FALSE,"TMPL"}</definedName>
    <definedName name="wrn.TMPL." hidden="1">{"TMPL",#N/A,FALSE,"TMPL"}</definedName>
    <definedName name="wrn.TMPL._1" localSheetId="0" hidden="1">{"TMPL",#N/A,FALSE,"TMPL"}</definedName>
    <definedName name="wrn.TMPL._1" localSheetId="1" hidden="1">{"TMPL",#N/A,FALSE,"TMPL"}</definedName>
    <definedName name="wrn.TMPL._1" localSheetId="2" hidden="1">{"TMPL",#N/A,FALSE,"TMPL"}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7" i="17" l="1"/>
  <c r="E204" i="17"/>
  <c r="E201" i="17"/>
  <c r="E198" i="17"/>
  <c r="D190" i="17"/>
  <c r="D189" i="17"/>
  <c r="D186" i="17"/>
  <c r="D187" i="17" s="1"/>
  <c r="D185" i="17"/>
  <c r="D184" i="17"/>
  <c r="E180" i="17"/>
  <c r="D180" i="17"/>
  <c r="E179" i="17"/>
  <c r="D179" i="17"/>
  <c r="E178" i="17"/>
  <c r="E182" i="17" s="1"/>
  <c r="D178" i="17"/>
  <c r="F174" i="17"/>
  <c r="E174" i="17"/>
  <c r="D174" i="17"/>
  <c r="F173" i="17"/>
  <c r="E173" i="17"/>
  <c r="D173" i="17"/>
  <c r="F172" i="17"/>
  <c r="E172" i="17"/>
  <c r="D172" i="17"/>
  <c r="D181" i="17" s="1"/>
  <c r="F171" i="17"/>
  <c r="F175" i="17" s="1"/>
  <c r="E171" i="17"/>
  <c r="E175" i="17" s="1"/>
  <c r="D171" i="17"/>
  <c r="D168" i="17"/>
  <c r="D164" i="17"/>
  <c r="D163" i="17"/>
  <c r="D162" i="17"/>
  <c r="D160" i="17"/>
  <c r="D165" i="17" s="1"/>
  <c r="D159" i="17"/>
  <c r="D158" i="17"/>
  <c r="E157" i="17"/>
  <c r="D157" i="17"/>
  <c r="E154" i="17"/>
  <c r="E153" i="17"/>
  <c r="E149" i="17"/>
  <c r="E147" i="17"/>
  <c r="E146" i="17"/>
  <c r="E145" i="17"/>
  <c r="E144" i="17"/>
  <c r="E143" i="17"/>
  <c r="E137" i="17"/>
  <c r="E136" i="17"/>
  <c r="E135" i="17"/>
  <c r="E130" i="17"/>
  <c r="E129" i="17"/>
  <c r="E131" i="17" s="1"/>
  <c r="E127" i="17"/>
  <c r="E126" i="17"/>
  <c r="E125" i="17"/>
  <c r="E123" i="17"/>
  <c r="E121" i="17"/>
  <c r="E120" i="17"/>
  <c r="E119" i="17"/>
  <c r="E117" i="17"/>
  <c r="E115" i="17"/>
  <c r="E112" i="17"/>
  <c r="E111" i="17"/>
  <c r="E107" i="17"/>
  <c r="E106" i="17"/>
  <c r="E104" i="17"/>
  <c r="E103" i="17"/>
  <c r="E102" i="17"/>
  <c r="E99" i="17"/>
  <c r="E98" i="17"/>
  <c r="E96" i="17"/>
  <c r="E95" i="17"/>
  <c r="E94" i="17"/>
  <c r="E91" i="17"/>
  <c r="E90" i="17"/>
  <c r="E88" i="17"/>
  <c r="E87" i="17"/>
  <c r="E86" i="17"/>
  <c r="E83" i="17"/>
  <c r="E82" i="17"/>
  <c r="E80" i="17"/>
  <c r="E79" i="17"/>
  <c r="E78" i="17"/>
  <c r="E75" i="17"/>
  <c r="E113" i="17" s="1"/>
  <c r="E74" i="17"/>
  <c r="E72" i="17"/>
  <c r="E110" i="17" s="1"/>
  <c r="E71" i="17"/>
  <c r="E70" i="17"/>
  <c r="E66" i="17"/>
  <c r="E65" i="17"/>
  <c r="E64" i="17"/>
  <c r="E61" i="17"/>
  <c r="E58" i="17"/>
  <c r="D53" i="17"/>
  <c r="E181" i="17" s="1"/>
  <c r="E51" i="17"/>
  <c r="D51" i="17"/>
  <c r="E44" i="17"/>
  <c r="E47" i="17" s="1"/>
  <c r="E57" i="17" s="1"/>
  <c r="E59" i="17" s="1"/>
  <c r="E42" i="17"/>
  <c r="E41" i="17"/>
  <c r="E40" i="17"/>
  <c r="E37" i="17"/>
  <c r="E36" i="17"/>
  <c r="E35" i="17"/>
  <c r="C28" i="17"/>
  <c r="B28" i="17"/>
  <c r="C27" i="17"/>
  <c r="B27" i="17"/>
  <c r="E26" i="17"/>
  <c r="C26" i="17"/>
  <c r="B26" i="17"/>
  <c r="D26" i="17" s="1"/>
  <c r="C25" i="17"/>
  <c r="B25" i="17"/>
  <c r="C24" i="17"/>
  <c r="B24" i="17"/>
  <c r="C23" i="17"/>
  <c r="C29" i="17" s="1"/>
  <c r="B23" i="17"/>
  <c r="B29" i="17" s="1"/>
  <c r="F19" i="17"/>
  <c r="E19" i="17"/>
  <c r="D19" i="17"/>
  <c r="C19" i="17"/>
  <c r="E28" i="17" s="1"/>
  <c r="B19" i="17"/>
  <c r="E18" i="17"/>
  <c r="D18" i="17"/>
  <c r="C18" i="17"/>
  <c r="E27" i="17" s="1"/>
  <c r="B18" i="17"/>
  <c r="E17" i="17"/>
  <c r="F17" i="17" s="1"/>
  <c r="D17" i="17"/>
  <c r="C17" i="17"/>
  <c r="B17" i="17"/>
  <c r="F16" i="17"/>
  <c r="E16" i="17"/>
  <c r="D16" i="17"/>
  <c r="C16" i="17"/>
  <c r="E25" i="17" s="1"/>
  <c r="B16" i="17"/>
  <c r="E15" i="17"/>
  <c r="D15" i="17"/>
  <c r="D13" i="17" s="1"/>
  <c r="C15" i="17"/>
  <c r="E24" i="17" s="1"/>
  <c r="B15" i="17"/>
  <c r="E14" i="17"/>
  <c r="D14" i="17"/>
  <c r="C14" i="17"/>
  <c r="F14" i="17" s="1"/>
  <c r="B14" i="17"/>
  <c r="E13" i="17"/>
  <c r="E12" i="17"/>
  <c r="D12" i="17"/>
  <c r="E52" i="17" s="1"/>
  <c r="E11" i="17"/>
  <c r="D11" i="17"/>
  <c r="C11" i="17"/>
  <c r="C12" i="17" s="1"/>
  <c r="F10" i="17" s="1"/>
  <c r="E10" i="17"/>
  <c r="D10" i="17"/>
  <c r="C10" i="17"/>
  <c r="F6" i="17"/>
  <c r="F5" i="17"/>
  <c r="F4" i="17"/>
  <c r="D4" i="17"/>
  <c r="B4" i="17"/>
  <c r="F3" i="17"/>
  <c r="D3" i="17"/>
  <c r="B3" i="17"/>
  <c r="E207" i="16"/>
  <c r="E204" i="16"/>
  <c r="E201" i="16"/>
  <c r="E198" i="16"/>
  <c r="D190" i="16"/>
  <c r="D189" i="16"/>
  <c r="D186" i="16"/>
  <c r="D185" i="16"/>
  <c r="D184" i="16"/>
  <c r="E180" i="16"/>
  <c r="D180" i="16"/>
  <c r="E179" i="16"/>
  <c r="D179" i="16"/>
  <c r="E178" i="16"/>
  <c r="E182" i="16" s="1"/>
  <c r="D178" i="16"/>
  <c r="F174" i="16"/>
  <c r="E174" i="16"/>
  <c r="D174" i="16"/>
  <c r="F173" i="16"/>
  <c r="E173" i="16"/>
  <c r="D173" i="16"/>
  <c r="F172" i="16"/>
  <c r="E172" i="16"/>
  <c r="D172" i="16"/>
  <c r="D181" i="16" s="1"/>
  <c r="F171" i="16"/>
  <c r="F175" i="16" s="1"/>
  <c r="E171" i="16"/>
  <c r="E175" i="16" s="1"/>
  <c r="D171" i="16"/>
  <c r="D168" i="16"/>
  <c r="D164" i="16"/>
  <c r="D163" i="16"/>
  <c r="D162" i="16"/>
  <c r="D160" i="16"/>
  <c r="D165" i="16" s="1"/>
  <c r="D159" i="16"/>
  <c r="D158" i="16"/>
  <c r="E157" i="16"/>
  <c r="D157" i="16"/>
  <c r="E154" i="16"/>
  <c r="E153" i="16"/>
  <c r="E149" i="16"/>
  <c r="E147" i="16"/>
  <c r="E146" i="16"/>
  <c r="E145" i="16"/>
  <c r="E144" i="16"/>
  <c r="E143" i="16"/>
  <c r="E137" i="16"/>
  <c r="E136" i="16"/>
  <c r="E135" i="16"/>
  <c r="E130" i="16"/>
  <c r="E129" i="16"/>
  <c r="E131" i="16" s="1"/>
  <c r="E127" i="16"/>
  <c r="E126" i="16"/>
  <c r="E125" i="16"/>
  <c r="E123" i="16"/>
  <c r="E121" i="16"/>
  <c r="E120" i="16"/>
  <c r="E119" i="16"/>
  <c r="E117" i="16"/>
  <c r="E115" i="16"/>
  <c r="E112" i="16"/>
  <c r="E111" i="16"/>
  <c r="E107" i="16"/>
  <c r="E106" i="16"/>
  <c r="E104" i="16"/>
  <c r="E103" i="16"/>
  <c r="E102" i="16"/>
  <c r="E99" i="16"/>
  <c r="E98" i="16"/>
  <c r="E96" i="16"/>
  <c r="E95" i="16"/>
  <c r="E94" i="16"/>
  <c r="E91" i="16"/>
  <c r="E90" i="16"/>
  <c r="E88" i="16"/>
  <c r="E87" i="16"/>
  <c r="E86" i="16"/>
  <c r="E83" i="16"/>
  <c r="E82" i="16"/>
  <c r="E80" i="16"/>
  <c r="E79" i="16"/>
  <c r="E78" i="16"/>
  <c r="E75" i="16"/>
  <c r="E113" i="16" s="1"/>
  <c r="E74" i="16"/>
  <c r="E72" i="16"/>
  <c r="E110" i="16" s="1"/>
  <c r="E71" i="16"/>
  <c r="E70" i="16"/>
  <c r="E66" i="16"/>
  <c r="E65" i="16"/>
  <c r="E64" i="16"/>
  <c r="E61" i="16"/>
  <c r="E58" i="16"/>
  <c r="D53" i="16"/>
  <c r="E181" i="16" s="1"/>
  <c r="E51" i="16"/>
  <c r="D51" i="16"/>
  <c r="E44" i="16"/>
  <c r="E47" i="16" s="1"/>
  <c r="E57" i="16" s="1"/>
  <c r="E59" i="16" s="1"/>
  <c r="E42" i="16"/>
  <c r="E41" i="16"/>
  <c r="E40" i="16"/>
  <c r="E37" i="16"/>
  <c r="E36" i="16"/>
  <c r="E35" i="16"/>
  <c r="E28" i="16"/>
  <c r="C28" i="16"/>
  <c r="B28" i="16"/>
  <c r="C27" i="16"/>
  <c r="B27" i="16"/>
  <c r="E26" i="16"/>
  <c r="C26" i="16"/>
  <c r="B26" i="16"/>
  <c r="D26" i="16" s="1"/>
  <c r="C25" i="16"/>
  <c r="B25" i="16"/>
  <c r="C24" i="16"/>
  <c r="B24" i="16"/>
  <c r="C23" i="16"/>
  <c r="C29" i="16" s="1"/>
  <c r="B23" i="16"/>
  <c r="B29" i="16" s="1"/>
  <c r="F19" i="16"/>
  <c r="E19" i="16"/>
  <c r="D19" i="16"/>
  <c r="C19" i="16"/>
  <c r="D28" i="16" s="1"/>
  <c r="B19" i="16"/>
  <c r="E18" i="16"/>
  <c r="D18" i="16"/>
  <c r="C18" i="16"/>
  <c r="E27" i="16" s="1"/>
  <c r="B18" i="16"/>
  <c r="E17" i="16"/>
  <c r="F17" i="16" s="1"/>
  <c r="D17" i="16"/>
  <c r="C17" i="16"/>
  <c r="B17" i="16"/>
  <c r="F16" i="16"/>
  <c r="E16" i="16"/>
  <c r="D16" i="16"/>
  <c r="C16" i="16"/>
  <c r="E25" i="16" s="1"/>
  <c r="B16" i="16"/>
  <c r="E15" i="16"/>
  <c r="D15" i="16"/>
  <c r="D13" i="16" s="1"/>
  <c r="C15" i="16"/>
  <c r="E24" i="16" s="1"/>
  <c r="B15" i="16"/>
  <c r="E14" i="16"/>
  <c r="D14" i="16"/>
  <c r="C14" i="16"/>
  <c r="F14" i="16" s="1"/>
  <c r="B14" i="16"/>
  <c r="E13" i="16"/>
  <c r="E12" i="16"/>
  <c r="D12" i="16"/>
  <c r="E52" i="16" s="1"/>
  <c r="E11" i="16"/>
  <c r="D11" i="16"/>
  <c r="C11" i="16"/>
  <c r="E10" i="16"/>
  <c r="D10" i="16"/>
  <c r="C10" i="16"/>
  <c r="C12" i="16" s="1"/>
  <c r="F6" i="16"/>
  <c r="F5" i="16"/>
  <c r="F4" i="16"/>
  <c r="D4" i="16"/>
  <c r="B4" i="16"/>
  <c r="F3" i="16"/>
  <c r="D3" i="16"/>
  <c r="B3" i="16"/>
  <c r="E53" i="17" l="1"/>
  <c r="D182" i="17"/>
  <c r="D166" i="17"/>
  <c r="D175" i="17"/>
  <c r="F18" i="17"/>
  <c r="D23" i="17"/>
  <c r="D25" i="17"/>
  <c r="D27" i="17"/>
  <c r="F15" i="17"/>
  <c r="E23" i="17"/>
  <c r="E53" i="16"/>
  <c r="D187" i="16"/>
  <c r="C13" i="17"/>
  <c r="F13" i="17" s="1"/>
  <c r="D24" i="17"/>
  <c r="D28" i="17"/>
  <c r="F10" i="16"/>
  <c r="D182" i="16"/>
  <c r="D166" i="16"/>
  <c r="D175" i="16"/>
  <c r="F18" i="16"/>
  <c r="D23" i="16"/>
  <c r="D25" i="16"/>
  <c r="D27" i="16"/>
  <c r="E23" i="16"/>
  <c r="F15" i="16"/>
  <c r="C13" i="16"/>
  <c r="F13" i="16" s="1"/>
  <c r="D2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FEF3AF71-956B-4B9D-B07E-FF72BF429A52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A5CB1AA4-F377-4BFD-B0FA-1200C940EC13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A58444D5-D923-4829-B54D-E3F0BA46B39F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sharedStrings.xml><?xml version="1.0" encoding="utf-8"?>
<sst xmlns="http://schemas.openxmlformats.org/spreadsheetml/2006/main" count="509" uniqueCount="163">
  <si>
    <t>Collection Period</t>
  </si>
  <si>
    <t xml:space="preserve">    30/360 Days</t>
  </si>
  <si>
    <t>Collection Period Start</t>
  </si>
  <si>
    <t>Distribution Date</t>
  </si>
  <si>
    <t xml:space="preserve">    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</si>
  <si>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</si>
  <si>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</si>
  <si>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</si>
  <si>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</si>
  <si>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</si>
  <si>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</si>
  <si>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</si>
  <si>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</si>
  <si>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Pool Balance</t>
  </si>
  <si>
    <t>Yield Supplement Overcollaterization</t>
  </si>
  <si>
    <t>Total Adjusted Pool Balance</t>
  </si>
  <si>
    <t>Total Adjusted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</si>
  <si>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</si>
  <si>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</si>
  <si>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</si>
  <si>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</si>
  <si>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</si>
  <si>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</si>
  <si>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</t>
  </si>
  <si>
    <t>Interest Payment</t>
  </si>
  <si>
    <r>
      <t xml:space="preserve">Principal per $1000                    </t>
    </r>
    <r>
      <rPr>
        <u/>
        <sz val="14"/>
        <rFont val="Arial"/>
        <family val="2"/>
      </rPr>
      <t xml:space="preserve"> Face Amount</t>
    </r>
  </si>
  <si>
    <r>
      <t xml:space="preserve">Interest per $1000                              </t>
    </r>
    <r>
      <rPr>
        <u/>
        <sz val="14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</si>
  <si>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</si>
  <si>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</si>
  <si>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</si>
  <si>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</si>
  <si>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</si>
  <si>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</si>
  <si>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</si>
  <si>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</si>
  <si>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</si>
  <si>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</si>
  <si>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</si>
  <si>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</si>
  <si>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</si>
  <si>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</si>
  <si>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</si>
  <si>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</si>
  <si>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</si>
  <si>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</si>
  <si>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</si>
  <si>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</si>
  <si>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</si>
  <si>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</si>
  <si>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</si>
  <si>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</si>
  <si>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</si>
  <si>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</si>
  <si>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</si>
  <si>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</si>
  <si>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</si>
  <si>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</si>
  <si>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</si>
  <si>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</si>
  <si>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</si>
  <si>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</si>
  <si>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</si>
  <si>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Interest Distributable Amount</t>
  </si>
  <si>
    <t>Class A-2a Notes Monthly Interest Paid</t>
  </si>
  <si>
    <t>Change in Class A-2a Notes Interest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</si>
  <si>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</si>
  <si>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</si>
  <si>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</si>
  <si>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Interest Distributable Amount</t>
  </si>
  <si>
    <t>Class A-2b Notes Monthly Interest Paid</t>
  </si>
  <si>
    <t>Change in Class A-2b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</si>
  <si>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</si>
  <si>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</si>
  <si>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</si>
  <si>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</si>
  <si>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</si>
  <si>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</si>
  <si>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</si>
  <si>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</si>
  <si>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</si>
  <si>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</si>
  <si>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</si>
  <si>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</si>
  <si>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</si>
  <si>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</si>
  <si>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</si>
  <si>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</si>
  <si>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</si>
  <si>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</si>
  <si>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</si>
  <si>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</si>
  <si>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</si>
  <si>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</si>
  <si>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</si>
  <si>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</si>
  <si>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</si>
  <si>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</si>
  <si>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</si>
  <si>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</si>
  <si>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Certificateholder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</si>
  <si>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</si>
  <si>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</si>
  <si>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</si>
  <si>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</si>
  <si>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</si>
  <si>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</si>
  <si>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</si>
  <si>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</si>
  <si>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</si>
  <si>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</si>
  <si>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</si>
  <si>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</si>
  <si>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</si>
  <si>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</si>
  <si>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</si>
  <si>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</si>
  <si>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 xml:space="preserve">  Monthly Net Losses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</si>
  <si>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</si>
  <si>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</si>
  <si>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</si>
  <si>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</si>
  <si>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</si>
  <si>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</si>
  <si>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</si>
  <si>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</si>
  <si>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</si>
  <si>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>31-60 Days Delinquent</t>
  </si>
  <si>
    <t>61-90 Days Delinquent</t>
  </si>
  <si>
    <t>91-120 Days Delinquent</t>
  </si>
  <si>
    <t>More than 120 Days</t>
  </si>
  <si>
    <t>Total 31+ Days Delinquent Receivables:</t>
  </si>
  <si>
    <t>61+ Days Delinquencies as Percentage of Receivables (EOP):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</si>
  <si>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</si>
  <si>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</si>
  <si>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</si>
  <si>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</si>
  <si>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</si>
  <si>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60 Day Delinquent Receivables</t>
  </si>
  <si>
    <t>Delinquency Percentage</t>
  </si>
  <si>
    <t>Delinquency Trigger</t>
  </si>
  <si>
    <t>Does the Delinquency Percentage exceed the Delinquency Trigger?</t>
  </si>
  <si>
    <t>Principal Balance of Extensions</t>
  </si>
  <si>
    <t>Number of Extensions</t>
  </si>
  <si>
    <t>VII. STATEMENTS TO NOTEHOLDERS</t>
  </si>
  <si>
    <t>1.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</si>
  <si>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</si>
  <si>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</si>
  <si>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</si>
  <si>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breaches of representations, warranties </t>
  </si>
  <si>
    <t>or covenants contained in the Receivables?</t>
  </si>
  <si>
    <t xml:space="preserve">3. Has there been an issuance of notes or other securities backed by the </t>
  </si>
  <si>
    <t>Receivables?</t>
  </si>
  <si>
    <t xml:space="preserve">4. Has there been a material change in the underwriting, origination or acquisition </t>
  </si>
  <si>
    <t>of Receivables?</t>
  </si>
  <si>
    <t>NO</t>
  </si>
  <si>
    <t>the Notes and Certificates. NARC II, the depositor, an affiliate of NMAC, retained all of the Certificates as of the Closing Date. The depositor is</t>
  </si>
  <si>
    <t>retaining a sufficient portion of the Certificates necessary to satsify the requirements of the SEC's credit risk retention rules, 17 C.F.R Part 246</t>
  </si>
  <si>
    <t>("Regulation RR"), which will be greater than or equal to 5.00% of the fair value of the Notes and Certificates required to comply with</t>
  </si>
  <si>
    <t>Regulation RR.</t>
  </si>
  <si>
    <t>Nissan Auto Receivables 2023-B</t>
  </si>
  <si>
    <t>No</t>
  </si>
  <si>
    <r>
      <t xml:space="preserve">NMAC, the sponsor, determined that the combined fair value of the Notes and Certificates was </t>
    </r>
    <r>
      <rPr>
        <sz val="14"/>
        <color rgb="FF0070C0"/>
        <rFont val="Arial"/>
        <family val="2"/>
      </rPr>
      <t>$1,369,720,490</t>
    </r>
    <r>
      <rPr>
        <sz val="14"/>
        <rFont val="Arial"/>
        <family val="2"/>
      </rPr>
      <t xml:space="preserve"> as of the Closing Date, and that</t>
    </r>
  </si>
  <si>
    <r>
      <t xml:space="preserve">the fair value of the entire portion of the Certificates as of the Closing Date was </t>
    </r>
    <r>
      <rPr>
        <sz val="14"/>
        <color rgb="FF0070C0"/>
        <rFont val="Arial"/>
        <family val="2"/>
      </rPr>
      <t>$119,720,490</t>
    </r>
    <r>
      <rPr>
        <sz val="14"/>
        <rFont val="Arial"/>
        <family val="2"/>
      </rPr>
      <t xml:space="preserve">, which is approximately </t>
    </r>
    <r>
      <rPr>
        <sz val="14"/>
        <color rgb="FF0070C0"/>
        <rFont val="Arial"/>
        <family val="2"/>
      </rPr>
      <t>8.74%</t>
    </r>
    <r>
      <rPr>
        <sz val="14"/>
        <rFont val="Arial"/>
        <family val="2"/>
      </rPr>
      <t xml:space="preserve"> of the fair value of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</si>
</sst>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4"/>
      <color indexed="62"/>
      <name val="Arial"/>
      <family val="2"/>
    </font>
    <font>
      <u/>
      <sz val="14"/>
      <name val="Arial"/>
      <family val="2"/>
    </font>
    <font>
      <sz val="11"/>
      <color indexed="8"/>
      <name val="Calibri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sz val="10"/>
      <color theme="1"/>
      <name val="Times New Roman"/>
      <family val="1"/>
    </font>
    <font>
      <sz val="14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4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indent="5"/>
    </xf>
    <xf numFmtId="15" fontId="2" fillId="0" borderId="0" xfId="0" applyNumberFormat="1" applyFont="1"/>
    <xf numFmtId="0" fontId="4" fillId="0" borderId="0" xfId="0" applyFont="1"/>
    <xf numFmtId="15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6" fillId="0" borderId="0" xfId="3" applyFont="1"/>
    <xf numFmtId="15" fontId="6" fillId="0" borderId="0" xfId="3" applyNumberFormat="1" applyFont="1"/>
    <xf numFmtId="39" fontId="6" fillId="0" borderId="0" xfId="3" applyNumberFormat="1" applyFont="1"/>
    <xf numFmtId="0" fontId="6" fillId="0" borderId="0" xfId="3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6" fillId="0" borderId="0" xfId="3" applyNumberFormat="1" applyFont="1"/>
    <xf numFmtId="39" fontId="9" fillId="0" borderId="0" xfId="1" applyNumberFormat="1" applyFont="1" applyFill="1" applyBorder="1"/>
    <xf numFmtId="39" fontId="6" fillId="0" borderId="0" xfId="4" applyNumberFormat="1" applyFont="1" applyBorder="1"/>
    <xf numFmtId="39" fontId="6" fillId="0" borderId="0" xfId="4" applyNumberFormat="1" applyFont="1" applyFill="1" applyBorder="1"/>
    <xf numFmtId="165" fontId="6" fillId="0" borderId="0" xfId="4" applyNumberFormat="1" applyFont="1" applyBorder="1" applyAlignment="1">
      <alignment horizontal="center" vertical="center"/>
    </xf>
    <xf numFmtId="39" fontId="3" fillId="0" borderId="0" xfId="0" applyNumberFormat="1" applyFont="1"/>
    <xf numFmtId="39" fontId="2" fillId="0" borderId="0" xfId="0" applyNumberFormat="1" applyFont="1"/>
    <xf numFmtId="39" fontId="9" fillId="0" borderId="0" xfId="1" applyNumberFormat="1" applyFont="1" applyBorder="1"/>
    <xf numFmtId="39" fontId="2" fillId="0" borderId="0" xfId="1" applyNumberFormat="1" applyFont="1" applyBorder="1"/>
    <xf numFmtId="39" fontId="2" fillId="0" borderId="0" xfId="5" applyNumberFormat="1" applyFont="1"/>
    <xf numFmtId="0" fontId="2" fillId="0" borderId="0" xfId="0" applyFont="1" applyAlignment="1">
      <alignment horizontal="left" indent="1"/>
    </xf>
    <xf numFmtId="166" fontId="9" fillId="0" borderId="0" xfId="0" applyNumberFormat="1" applyFont="1"/>
    <xf numFmtId="164" fontId="2" fillId="0" borderId="0" xfId="0" applyNumberFormat="1" applyFont="1"/>
    <xf numFmtId="39" fontId="2" fillId="0" borderId="0" xfId="5" applyNumberFormat="1" applyFont="1" applyBorder="1"/>
    <xf numFmtId="167" fontId="2" fillId="0" borderId="0" xfId="5" applyNumberFormat="1" applyFont="1" applyBorder="1" applyAlignment="1">
      <alignment horizontal="center" vertical="center"/>
    </xf>
    <xf numFmtId="39" fontId="2" fillId="0" borderId="0" xfId="5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8" fontId="6" fillId="0" borderId="0" xfId="4" applyNumberFormat="1" applyFont="1" applyBorder="1"/>
    <xf numFmtId="168" fontId="6" fillId="0" borderId="0" xfId="4" applyNumberFormat="1" applyFont="1" applyFill="1" applyBorder="1"/>
    <xf numFmtId="39" fontId="2" fillId="0" borderId="1" xfId="5" applyNumberFormat="1" applyFont="1" applyBorder="1"/>
    <xf numFmtId="169" fontId="2" fillId="0" borderId="0" xfId="5" applyNumberFormat="1" applyFont="1" applyBorder="1"/>
    <xf numFmtId="169" fontId="2" fillId="0" borderId="0" xfId="5" applyNumberFormat="1" applyFont="1"/>
    <xf numFmtId="39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39" fontId="6" fillId="0" borderId="0" xfId="4" applyNumberFormat="1" applyFont="1" applyFill="1" applyAlignment="1">
      <alignment horizontal="right"/>
    </xf>
    <xf numFmtId="39" fontId="2" fillId="0" borderId="0" xfId="0" applyNumberFormat="1" applyFont="1" applyAlignment="1">
      <alignment horizontal="center" vertical="center"/>
    </xf>
    <xf numFmtId="39" fontId="3" fillId="0" borderId="0" xfId="1" applyNumberFormat="1" applyFont="1" applyFill="1" applyBorder="1" applyAlignment="1">
      <alignment horizontal="right"/>
    </xf>
    <xf numFmtId="39" fontId="6" fillId="0" borderId="2" xfId="4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9" fontId="2" fillId="0" borderId="0" xfId="5" applyNumberFormat="1" applyFont="1" applyAlignment="1">
      <alignment horizontal="right"/>
    </xf>
    <xf numFmtId="39" fontId="6" fillId="0" borderId="0" xfId="3" applyNumberFormat="1" applyFont="1" applyAlignment="1">
      <alignment horizontal="right"/>
    </xf>
    <xf numFmtId="39" fontId="6" fillId="0" borderId="3" xfId="3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43" fontId="7" fillId="0" borderId="0" xfId="5" applyFont="1" applyAlignment="1">
      <alignment horizontal="right"/>
    </xf>
    <xf numFmtId="170" fontId="6" fillId="0" borderId="0" xfId="4" applyNumberFormat="1" applyFont="1" applyFill="1" applyAlignment="1">
      <alignment horizontal="right"/>
    </xf>
    <xf numFmtId="170" fontId="6" fillId="0" borderId="0" xfId="4" applyNumberFormat="1" applyFont="1" applyFill="1"/>
    <xf numFmtId="39" fontId="6" fillId="0" borderId="0" xfId="4" applyNumberFormat="1" applyFont="1" applyFill="1" applyBorder="1" applyAlignment="1">
      <alignment horizontal="right"/>
    </xf>
    <xf numFmtId="39" fontId="6" fillId="0" borderId="0" xfId="4" applyNumberFormat="1" applyFont="1" applyFill="1"/>
    <xf numFmtId="0" fontId="2" fillId="0" borderId="0" xfId="0" applyFont="1" applyAlignment="1">
      <alignment horizontal="left" indent="3"/>
    </xf>
    <xf numFmtId="43" fontId="2" fillId="0" borderId="0" xfId="5" applyFont="1"/>
    <xf numFmtId="43" fontId="6" fillId="0" borderId="0" xfId="4" applyFont="1" applyFill="1"/>
    <xf numFmtId="39" fontId="6" fillId="0" borderId="2" xfId="3" applyNumberFormat="1" applyFont="1" applyBorder="1"/>
    <xf numFmtId="0" fontId="10" fillId="0" borderId="0" xfId="0" applyFont="1" applyAlignment="1">
      <alignment horizontal="left" indent="1"/>
    </xf>
    <xf numFmtId="10" fontId="2" fillId="0" borderId="0" xfId="0" applyNumberFormat="1" applyFont="1"/>
    <xf numFmtId="10" fontId="6" fillId="0" borderId="0" xfId="3" applyNumberFormat="1" applyFont="1"/>
    <xf numFmtId="10" fontId="2" fillId="0" borderId="0" xfId="2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5" applyFont="1" applyAlignment="1">
      <alignment horizontal="right" wrapText="1"/>
    </xf>
    <xf numFmtId="1" fontId="6" fillId="0" borderId="0" xfId="4" applyNumberFormat="1" applyFont="1" applyFill="1"/>
    <xf numFmtId="1" fontId="6" fillId="0" borderId="0" xfId="4" applyNumberFormat="1" applyFont="1" applyFill="1" applyBorder="1"/>
    <xf numFmtId="39" fontId="6" fillId="0" borderId="2" xfId="4" applyNumberFormat="1" applyFont="1" applyFill="1" applyBorder="1"/>
    <xf numFmtId="1" fontId="6" fillId="0" borderId="2" xfId="4" applyNumberFormat="1" applyFont="1" applyFill="1" applyBorder="1"/>
    <xf numFmtId="10" fontId="6" fillId="0" borderId="2" xfId="6" applyNumberFormat="1" applyFont="1" applyFill="1" applyBorder="1"/>
    <xf numFmtId="43" fontId="6" fillId="0" borderId="0" xfId="1" applyFont="1" applyFill="1"/>
    <xf numFmtId="10" fontId="6" fillId="0" borderId="0" xfId="4" applyNumberFormat="1" applyFont="1" applyFill="1"/>
    <xf numFmtId="43" fontId="2" fillId="0" borderId="0" xfId="0" applyNumberFormat="1" applyFont="1"/>
    <xf numFmtId="10" fontId="6" fillId="0" borderId="0" xfId="6" applyNumberFormat="1" applyFont="1" applyFill="1" applyAlignment="1">
      <alignment horizontal="right"/>
    </xf>
    <xf numFmtId="43" fontId="2" fillId="0" borderId="0" xfId="7" applyFont="1"/>
    <xf numFmtId="0" fontId="11" fillId="0" borderId="0" xfId="0" applyFont="1" applyAlignment="1">
      <alignment vertical="center" wrapText="1"/>
    </xf>
    <xf numFmtId="170" fontId="2" fillId="0" borderId="0" xfId="7" applyNumberFormat="1" applyFont="1"/>
    <xf numFmtId="0" fontId="6" fillId="0" borderId="0" xfId="3" applyFont="1" applyAlignment="1">
      <alignment horizontal="right"/>
    </xf>
    <xf numFmtId="0" fontId="12" fillId="0" borderId="0" xfId="0" applyFont="1" applyAlignment="1">
      <alignment vertical="center" wrapText="1"/>
    </xf>
  </cellXfs>
  <cellStyles count="8">
    <cellStyle name="Comma" xfId="1" builtinId="3"/>
    <cellStyle name="Comma 10" xfId="7" xr:uid="{47E99225-9688-434F-96A2-A28B2A5BCB3C}"/>
    <cellStyle name="Comma 2" xfId="5" xr:uid="{B53B1322-9081-4163-9AA5-6BC927AF905D}"/>
    <cellStyle name="Comma 3 2" xfId="4" xr:uid="{8E5B2B47-592E-43B3-B6D0-3D956FA5FA71}"/>
    <cellStyle name="Normal" xfId="0" builtinId="0"/>
    <cellStyle name="Normal 3" xfId="3" xr:uid="{97CE8197-8B10-4A4C-9AD7-0EF2B8192277}"/>
    <cellStyle name="Percent" xfId="2" builtinId="5"/>
    <cellStyle name="Percent 3 2" xfId="6" xr:uid="{9B6B738C-865B-475A-A96F-47D6ADB064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22B/ABS6/22-BJan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QPDBABSRTL\Output%20Reports\2023%20R-Outputs\October%202023\23-BOct23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CORP\TREASURY\EXCEL\OwnerTrust23B\ABS6\23-BOct23.xlsx" TargetMode="External"/><Relationship Id="rId1" Type="http://schemas.openxmlformats.org/officeDocument/2006/relationships/externalLinkPath" Target="/CORP/TREASURY/EXCEL/OwnerTrust23B/ABS6/23-BOct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CORP\TREASURY\EXCEL\OwnerTrust23B\ABS6\23-BNov23.xlsm" TargetMode="External"/><Relationship Id="rId1" Type="http://schemas.openxmlformats.org/officeDocument/2006/relationships/externalLinkPath" Target="/CORP/TREASURY/EXCEL/OwnerTrust23B/ABS6/23-BNov23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CORP\TREASURY\EXCEL\OwnerTrust23B\ABS6\23-BDec23.xlsm" TargetMode="External"/><Relationship Id="rId1" Type="http://schemas.openxmlformats.org/officeDocument/2006/relationships/externalLinkPath" Target="/CORP/TREASURY/EXCEL/OwnerTrust23B/ABS6/23-BDec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>
            <v>1302197709.8199999</v>
          </cell>
        </row>
        <row r="5">
          <cell r="B5">
            <v>1260550398.1700001</v>
          </cell>
        </row>
        <row r="6">
          <cell r="B6">
            <v>145967776.97999999</v>
          </cell>
        </row>
        <row r="7">
          <cell r="B7">
            <v>139096256.16999999</v>
          </cell>
        </row>
        <row r="8">
          <cell r="B8">
            <v>1156229932.8399999</v>
          </cell>
        </row>
        <row r="9">
          <cell r="B9">
            <v>1121454142</v>
          </cell>
        </row>
      </sheetData>
      <sheetData sheetId="12"/>
      <sheetData sheetId="13"/>
      <sheetData sheetId="14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44382121.840000004</v>
          </cell>
          <cell r="D7">
            <v>3255372.62</v>
          </cell>
        </row>
      </sheetData>
      <sheetData sheetId="16">
        <row r="4">
          <cell r="C4">
            <v>124080884.95999999</v>
          </cell>
          <cell r="P4">
            <v>89305094.119999841</v>
          </cell>
        </row>
        <row r="5">
          <cell r="C5">
            <v>443300000</v>
          </cell>
          <cell r="P5">
            <v>443300000</v>
          </cell>
        </row>
        <row r="6">
          <cell r="C6">
            <v>0</v>
          </cell>
          <cell r="P6">
            <v>0</v>
          </cell>
        </row>
        <row r="7">
          <cell r="C7">
            <v>443300000</v>
          </cell>
          <cell r="P7">
            <v>443300000</v>
          </cell>
        </row>
        <row r="8">
          <cell r="C8">
            <v>93400000</v>
          </cell>
          <cell r="P8">
            <v>93400000</v>
          </cell>
        </row>
        <row r="9">
          <cell r="C9">
            <v>52149047.880000003</v>
          </cell>
          <cell r="P9">
            <v>52149047.880000003</v>
          </cell>
        </row>
        <row r="16">
          <cell r="C16">
            <v>44851</v>
          </cell>
        </row>
        <row r="17">
          <cell r="C17">
            <v>44943</v>
          </cell>
        </row>
        <row r="18">
          <cell r="C18">
            <v>44972</v>
          </cell>
        </row>
        <row r="23">
          <cell r="C23">
            <v>45215</v>
          </cell>
        </row>
        <row r="24">
          <cell r="C24">
            <v>45884</v>
          </cell>
        </row>
        <row r="26">
          <cell r="C26">
            <v>46524</v>
          </cell>
        </row>
        <row r="27">
          <cell r="C27">
            <v>47437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>
            <v>1449675307.3599999</v>
          </cell>
        </row>
        <row r="5">
          <cell r="B5">
            <v>1396272094.9400001</v>
          </cell>
        </row>
        <row r="6">
          <cell r="B6">
            <v>147591973</v>
          </cell>
        </row>
        <row r="7">
          <cell r="B7">
            <v>139479250</v>
          </cell>
        </row>
        <row r="8">
          <cell r="B8">
            <v>1302083334.3599999</v>
          </cell>
        </row>
        <row r="9">
          <cell r="B9">
            <v>1256792844.9400001</v>
          </cell>
        </row>
      </sheetData>
      <sheetData sheetId="12"/>
      <sheetData sheetId="13"/>
      <sheetData sheetId="14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57705728.210000001</v>
          </cell>
          <cell r="D7">
            <v>3255208.34</v>
          </cell>
        </row>
      </sheetData>
      <sheetData sheetId="16">
        <row r="4">
          <cell r="C4">
            <v>352000000</v>
          </cell>
          <cell r="P4">
            <v>306709510.58000016</v>
          </cell>
        </row>
        <row r="5">
          <cell r="C5">
            <v>219500000</v>
          </cell>
          <cell r="P5">
            <v>219500000</v>
          </cell>
        </row>
        <row r="6">
          <cell r="C6">
            <v>219500000</v>
          </cell>
          <cell r="P6">
            <v>219500000</v>
          </cell>
        </row>
        <row r="7">
          <cell r="C7">
            <v>376000000</v>
          </cell>
          <cell r="P7">
            <v>376000000</v>
          </cell>
        </row>
        <row r="8">
          <cell r="C8">
            <v>83000000</v>
          </cell>
          <cell r="P8">
            <v>83000000</v>
          </cell>
        </row>
        <row r="9">
          <cell r="C9">
            <v>52083334.359999999</v>
          </cell>
          <cell r="P9">
            <v>52083334.359999999</v>
          </cell>
        </row>
        <row r="16">
          <cell r="C16">
            <v>45245</v>
          </cell>
        </row>
        <row r="17">
          <cell r="C17">
            <v>45224</v>
          </cell>
        </row>
        <row r="18">
          <cell r="C18">
            <v>45245</v>
          </cell>
        </row>
        <row r="23">
          <cell r="C23">
            <v>45611</v>
          </cell>
        </row>
        <row r="24">
          <cell r="C24">
            <v>46157</v>
          </cell>
        </row>
        <row r="26">
          <cell r="C26">
            <v>46888</v>
          </cell>
        </row>
        <row r="27">
          <cell r="C27">
            <v>47771</v>
          </cell>
        </row>
      </sheetData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0702_COLLATERAL_BALANCE</v>
          </cell>
          <cell r="D2">
            <v>1346239494.45</v>
          </cell>
          <cell r="F2" t="str">
            <v>N</v>
          </cell>
        </row>
        <row r="3">
          <cell r="B3" t="str">
            <v>0702_CURRENT_AMT</v>
          </cell>
          <cell r="D3">
            <v>0</v>
          </cell>
          <cell r="F3" t="str">
            <v>N</v>
          </cell>
        </row>
        <row r="4">
          <cell r="B4" t="str">
            <v>0702_CURRENT_CNT</v>
          </cell>
          <cell r="D4">
            <v>2396</v>
          </cell>
          <cell r="F4" t="str">
            <v>N</v>
          </cell>
        </row>
        <row r="5">
          <cell r="B5" t="str">
            <v>0702_CURRENT_MONTH_EXTENSIONS</v>
          </cell>
          <cell r="D5">
            <v>3305311.31</v>
          </cell>
          <cell r="F5" t="str">
            <v>N</v>
          </cell>
        </row>
        <row r="6">
          <cell r="B6" t="str">
            <v>0702_CURRENT_MONTH_EXTENSIONS_CNT</v>
          </cell>
          <cell r="D6">
            <v>134</v>
          </cell>
          <cell r="F6" t="str">
            <v>N</v>
          </cell>
        </row>
        <row r="7">
          <cell r="B7" t="str">
            <v>0702_DAILY_REMIT</v>
          </cell>
          <cell r="D7">
            <v>54085853.480000019</v>
          </cell>
          <cell r="F7" t="str">
            <v>N</v>
          </cell>
        </row>
        <row r="8">
          <cell r="B8" t="str">
            <v>0702_DELINQ_60_PLUS_AMT</v>
          </cell>
          <cell r="D8">
            <v>424945.36</v>
          </cell>
          <cell r="F8" t="str">
            <v>N</v>
          </cell>
        </row>
        <row r="9">
          <cell r="B9" t="str">
            <v>0702_DELINQ_60_PLUS_CNT</v>
          </cell>
          <cell r="D9">
            <v>22</v>
          </cell>
          <cell r="F9" t="str">
            <v>N</v>
          </cell>
        </row>
        <row r="10">
          <cell r="B10" t="str">
            <v>0702_DELQ_121_PLUS_AMT</v>
          </cell>
          <cell r="D10">
            <v>0</v>
          </cell>
          <cell r="F10" t="str">
            <v>N</v>
          </cell>
        </row>
        <row r="11">
          <cell r="B11" t="str">
            <v>0702_DELQ_121_PLUS_CNT</v>
          </cell>
          <cell r="D11">
            <v>0</v>
          </cell>
          <cell r="F11" t="str">
            <v>N</v>
          </cell>
        </row>
        <row r="12">
          <cell r="B12" t="str">
            <v>0702_DELQ_31_60_AMT</v>
          </cell>
          <cell r="D12">
            <v>3052683.06</v>
          </cell>
          <cell r="F12" t="str">
            <v>N</v>
          </cell>
        </row>
        <row r="13">
          <cell r="B13" t="str">
            <v>0702_DELQ_31_60_CNT</v>
          </cell>
          <cell r="D13">
            <v>145</v>
          </cell>
          <cell r="F13" t="str">
            <v>N</v>
          </cell>
        </row>
        <row r="14">
          <cell r="B14" t="str">
            <v>0702_DELQ_61_90_AMT</v>
          </cell>
          <cell r="D14">
            <v>401935.61</v>
          </cell>
          <cell r="F14" t="str">
            <v>N</v>
          </cell>
        </row>
        <row r="15">
          <cell r="B15" t="str">
            <v>0702_DELQ_61_90_CNT</v>
          </cell>
          <cell r="D15">
            <v>21</v>
          </cell>
          <cell r="F15" t="str">
            <v>N</v>
          </cell>
        </row>
        <row r="16">
          <cell r="B16" t="str">
            <v>0702_DELQ_91_120_AMT</v>
          </cell>
          <cell r="D16">
            <v>0</v>
          </cell>
          <cell r="F16" t="str">
            <v>N</v>
          </cell>
        </row>
        <row r="17">
          <cell r="B17" t="str">
            <v>0702_DELQ_91_120_CNT</v>
          </cell>
          <cell r="D17">
            <v>0</v>
          </cell>
          <cell r="F17" t="str">
            <v>N</v>
          </cell>
        </row>
        <row r="18">
          <cell r="B18" t="str">
            <v>ADM_PURCH_PAY</v>
          </cell>
          <cell r="D18">
            <v>0</v>
          </cell>
          <cell r="F18" t="str">
            <v>N</v>
          </cell>
        </row>
        <row r="19">
          <cell r="B19" t="str">
            <v>COLL_END_DATE</v>
          </cell>
          <cell r="D19">
            <v>0</v>
          </cell>
          <cell r="E19">
            <v>45260</v>
          </cell>
          <cell r="F19" t="str">
            <v>D</v>
          </cell>
        </row>
        <row r="20">
          <cell r="B20" t="str">
            <v>COLLATERAL_COUNT</v>
          </cell>
          <cell r="D20">
            <v>74870</v>
          </cell>
          <cell r="F20" t="str">
            <v>N</v>
          </cell>
        </row>
        <row r="21">
          <cell r="B21" t="str">
            <v>COUNTERPARTY_PMT</v>
          </cell>
          <cell r="D21">
            <v>0</v>
          </cell>
          <cell r="F21" t="str">
            <v>N</v>
          </cell>
        </row>
        <row r="22">
          <cell r="B22" t="str">
            <v>DEBT_SALE_RECOVERIES</v>
          </cell>
          <cell r="D22">
            <v>0</v>
          </cell>
          <cell r="F22" t="str">
            <v>N</v>
          </cell>
        </row>
        <row r="23">
          <cell r="B23" t="str">
            <v>DISTRIBUTION_DATE</v>
          </cell>
          <cell r="D23">
            <v>0</v>
          </cell>
          <cell r="E23">
            <v>45275</v>
          </cell>
          <cell r="F23" t="str">
            <v>D</v>
          </cell>
        </row>
        <row r="24">
          <cell r="B24" t="str">
            <v>EARNING_YIELD_SUPPLEMENT</v>
          </cell>
          <cell r="D24">
            <v>0</v>
          </cell>
          <cell r="F24" t="str">
            <v>N</v>
          </cell>
        </row>
        <row r="25">
          <cell r="B25" t="str">
            <v>EVENT_DEFAULT_A</v>
          </cell>
          <cell r="C25" t="str">
            <v>NO</v>
          </cell>
          <cell r="D25">
            <v>0</v>
          </cell>
          <cell r="F25" t="str">
            <v>C</v>
          </cell>
        </row>
        <row r="26">
          <cell r="B26" t="str">
            <v>EVENT_DEFAULT_B</v>
          </cell>
          <cell r="C26" t="str">
            <v>NO</v>
          </cell>
          <cell r="D26">
            <v>0</v>
          </cell>
          <cell r="F26" t="str">
            <v>N</v>
          </cell>
        </row>
        <row r="27">
          <cell r="B27" t="str">
            <v>EVENT_DEFAULT_C</v>
          </cell>
          <cell r="C27" t="str">
            <v>NO</v>
          </cell>
          <cell r="D27">
            <v>0</v>
          </cell>
          <cell r="F27" t="str">
            <v>N</v>
          </cell>
        </row>
        <row r="28">
          <cell r="B28" t="str">
            <v>EVENT_DEFAULT_D</v>
          </cell>
          <cell r="C28" t="str">
            <v>NO</v>
          </cell>
          <cell r="D28">
            <v>0</v>
          </cell>
          <cell r="F28" t="str">
            <v>N</v>
          </cell>
        </row>
        <row r="29">
          <cell r="B29" t="str">
            <v>EVENT_DEFAULT_E</v>
          </cell>
          <cell r="C29" t="str">
            <v>NO</v>
          </cell>
          <cell r="D29">
            <v>0</v>
          </cell>
          <cell r="F29" t="str">
            <v>N</v>
          </cell>
        </row>
        <row r="30">
          <cell r="B30" t="str">
            <v>INT_ACCRUED_UNPAID</v>
          </cell>
          <cell r="D30">
            <v>0</v>
          </cell>
          <cell r="F30" t="str">
            <v>N</v>
          </cell>
        </row>
        <row r="31">
          <cell r="B31" t="str">
            <v>INT_COLL_ACCT</v>
          </cell>
          <cell r="D31">
            <v>134744.35999999999</v>
          </cell>
          <cell r="F31" t="str">
            <v>N</v>
          </cell>
        </row>
        <row r="32">
          <cell r="B32" t="str">
            <v>INT_NET_LIQ_PROCEEDS</v>
          </cell>
          <cell r="D32">
            <v>0</v>
          </cell>
          <cell r="F32" t="str">
            <v>N</v>
          </cell>
        </row>
        <row r="33">
          <cell r="B33" t="str">
            <v>INT_REPURCHASE_PROCEED</v>
          </cell>
          <cell r="D33">
            <v>0</v>
          </cell>
          <cell r="F33" t="str">
            <v>N</v>
          </cell>
        </row>
        <row r="34">
          <cell r="B34" t="str">
            <v>INT_RESERVE_ACCT</v>
          </cell>
          <cell r="D34">
            <v>14379.64</v>
          </cell>
          <cell r="F34" t="str">
            <v>N</v>
          </cell>
        </row>
        <row r="35">
          <cell r="B35" t="str">
            <v>INTEREST_COLLECTIONS</v>
          </cell>
          <cell r="D35">
            <v>4229181.9000000004</v>
          </cell>
          <cell r="F35" t="str">
            <v>N</v>
          </cell>
        </row>
        <row r="36">
          <cell r="B36" t="str">
            <v>INVESTEARNEDYSA</v>
          </cell>
          <cell r="D36">
            <v>0</v>
          </cell>
          <cell r="F36" t="str">
            <v>N</v>
          </cell>
        </row>
        <row r="37">
          <cell r="B37" t="str">
            <v>LIBOR_RATE</v>
          </cell>
          <cell r="D37">
            <v>5.32404E-2</v>
          </cell>
          <cell r="F37" t="str">
            <v>N</v>
          </cell>
        </row>
        <row r="38">
          <cell r="B38" t="str">
            <v>LOSS_AMT</v>
          </cell>
          <cell r="D38">
            <v>177965.05</v>
          </cell>
          <cell r="F38" t="str">
            <v>N</v>
          </cell>
        </row>
        <row r="39">
          <cell r="B39" t="str">
            <v>LOSS_CNT</v>
          </cell>
          <cell r="D39">
            <v>8</v>
          </cell>
          <cell r="F39" t="str">
            <v>N</v>
          </cell>
        </row>
        <row r="40">
          <cell r="B40" t="str">
            <v>NET_SWAP_PAYMENTS</v>
          </cell>
          <cell r="D40">
            <v>0</v>
          </cell>
          <cell r="F40" t="str">
            <v>N</v>
          </cell>
        </row>
        <row r="41">
          <cell r="B41" t="str">
            <v>NET_SWAP_RECEIPTS</v>
          </cell>
          <cell r="D41">
            <v>0</v>
          </cell>
          <cell r="F41" t="str">
            <v>N</v>
          </cell>
        </row>
        <row r="42">
          <cell r="B42" t="str">
            <v>OPTIONAL_PURCHASE</v>
          </cell>
          <cell r="D42">
            <v>0</v>
          </cell>
          <cell r="F42" t="str">
            <v>N</v>
          </cell>
        </row>
        <row r="43">
          <cell r="B43" t="str">
            <v>OVERCOLLATERALIZATION_AMT</v>
          </cell>
          <cell r="D43">
            <v>132003549.76000001</v>
          </cell>
          <cell r="F43" t="str">
            <v>N</v>
          </cell>
        </row>
        <row r="44">
          <cell r="B44" t="str">
            <v>PI_ADV</v>
          </cell>
          <cell r="D44">
            <v>0</v>
          </cell>
          <cell r="F44" t="str">
            <v>N</v>
          </cell>
        </row>
        <row r="45">
          <cell r="B45" t="str">
            <v>POOL_WAC</v>
          </cell>
          <cell r="D45">
            <v>3.6499491100000003E-2</v>
          </cell>
          <cell r="F45" t="str">
            <v>N</v>
          </cell>
        </row>
        <row r="46">
          <cell r="B46" t="str">
            <v>POOL_WARM</v>
          </cell>
          <cell r="D46">
            <v>44.790315</v>
          </cell>
          <cell r="F46" t="str">
            <v>N</v>
          </cell>
        </row>
        <row r="47">
          <cell r="B47" t="str">
            <v>PRIN_NET_LIQ_PROCEEDS</v>
          </cell>
          <cell r="D47">
            <v>56250</v>
          </cell>
          <cell r="F47" t="str">
            <v>N</v>
          </cell>
        </row>
        <row r="48">
          <cell r="B48" t="str">
            <v>PRIN_REPURCHASE_PROCEED</v>
          </cell>
          <cell r="D48">
            <v>0</v>
          </cell>
          <cell r="F48" t="str">
            <v>N</v>
          </cell>
        </row>
        <row r="49">
          <cell r="B49" t="str">
            <v>PRINCIPAL_COLLECTIONS</v>
          </cell>
          <cell r="D49">
            <v>49854635.439999998</v>
          </cell>
          <cell r="F49" t="str">
            <v>N</v>
          </cell>
        </row>
        <row r="50">
          <cell r="B50" t="str">
            <v>RECEIVED_DATE</v>
          </cell>
          <cell r="D50">
            <v>0</v>
          </cell>
          <cell r="E50">
            <v>45264</v>
          </cell>
          <cell r="F50" t="str">
            <v>D</v>
          </cell>
        </row>
        <row r="51">
          <cell r="B51" t="str">
            <v>RECOVERIES_ADV</v>
          </cell>
          <cell r="D51">
            <v>0</v>
          </cell>
          <cell r="F51" t="str">
            <v>N</v>
          </cell>
        </row>
        <row r="52">
          <cell r="B52" t="str">
            <v>RECOVERY_ADJ</v>
          </cell>
          <cell r="D52">
            <v>0</v>
          </cell>
          <cell r="F52" t="str">
            <v>N</v>
          </cell>
        </row>
        <row r="53">
          <cell r="B53" t="str">
            <v>RESCISSION</v>
          </cell>
          <cell r="C53" t="str">
            <v>NO</v>
          </cell>
          <cell r="D53">
            <v>0</v>
          </cell>
          <cell r="F53" t="str">
            <v>N</v>
          </cell>
        </row>
        <row r="54">
          <cell r="B54" t="str">
            <v>RESERVE_TO_COLL_TRANSFER</v>
          </cell>
          <cell r="D54">
            <v>0</v>
          </cell>
          <cell r="F54" t="str">
            <v>N</v>
          </cell>
        </row>
        <row r="55">
          <cell r="B55" t="str">
            <v>SEN_SWAP_TERM_PAYMENTS</v>
          </cell>
          <cell r="D55">
            <v>0</v>
          </cell>
          <cell r="F55" t="str">
            <v>N</v>
          </cell>
        </row>
        <row r="56">
          <cell r="B56" t="str">
            <v>STMNT_TO_NOTEHLD_1</v>
          </cell>
          <cell r="C56" t="str">
            <v>NO</v>
          </cell>
          <cell r="D56">
            <v>0</v>
          </cell>
          <cell r="F56" t="str">
            <v>N</v>
          </cell>
        </row>
        <row r="57">
          <cell r="B57" t="str">
            <v>STMNT_TO_NOTEHLD_2</v>
          </cell>
          <cell r="C57" t="str">
            <v>NO</v>
          </cell>
          <cell r="D57">
            <v>0</v>
          </cell>
          <cell r="F57" t="str">
            <v>N</v>
          </cell>
        </row>
        <row r="58">
          <cell r="B58" t="str">
            <v>STMNT_TO_NOTEHLD_3</v>
          </cell>
          <cell r="C58" t="str">
            <v>NO</v>
          </cell>
          <cell r="D58">
            <v>0</v>
          </cell>
          <cell r="F58" t="str">
            <v>N</v>
          </cell>
        </row>
        <row r="59">
          <cell r="B59" t="str">
            <v>STMNT_TO_NOTEHLD_4</v>
          </cell>
          <cell r="C59" t="str">
            <v>NO</v>
          </cell>
          <cell r="D59">
            <v>0</v>
          </cell>
          <cell r="F59" t="str">
            <v>N</v>
          </cell>
        </row>
        <row r="60">
          <cell r="B60" t="str">
            <v>STMNT_TO_NOTEHLD_5</v>
          </cell>
          <cell r="C60" t="str">
            <v>NO</v>
          </cell>
          <cell r="D60">
            <v>0</v>
          </cell>
          <cell r="F60" t="str">
            <v>N</v>
          </cell>
        </row>
        <row r="61">
          <cell r="B61" t="str">
            <v>STMNT_TO_NOTEHLD_6</v>
          </cell>
          <cell r="C61" t="str">
            <v>NO</v>
          </cell>
          <cell r="D61">
            <v>0</v>
          </cell>
          <cell r="F61" t="str">
            <v>N</v>
          </cell>
        </row>
        <row r="62">
          <cell r="B62" t="str">
            <v>SUB_SWAP_TERM_PAYMENTS</v>
          </cell>
          <cell r="D62">
            <v>0</v>
          </cell>
          <cell r="F62" t="str">
            <v>N</v>
          </cell>
        </row>
        <row r="63">
          <cell r="B63" t="str">
            <v>SWAP_REPLACEMENT_PROCEEDS</v>
          </cell>
          <cell r="D63">
            <v>0</v>
          </cell>
          <cell r="F63" t="str">
            <v>N</v>
          </cell>
        </row>
        <row r="64">
          <cell r="B64" t="str">
            <v>SWAP_TERM_RECEIPT</v>
          </cell>
          <cell r="D64">
            <v>0</v>
          </cell>
          <cell r="F64" t="str">
            <v>N</v>
          </cell>
        </row>
        <row r="65">
          <cell r="B65" t="str">
            <v>test</v>
          </cell>
          <cell r="D65">
            <v>0</v>
          </cell>
          <cell r="F65" t="str">
            <v>D</v>
          </cell>
        </row>
        <row r="66">
          <cell r="B66" t="str">
            <v>test2</v>
          </cell>
          <cell r="D66">
            <v>0</v>
          </cell>
          <cell r="F66" t="str">
            <v>N</v>
          </cell>
        </row>
        <row r="67">
          <cell r="B67" t="str">
            <v>WARRANT_PAY</v>
          </cell>
          <cell r="D67">
            <v>0</v>
          </cell>
          <cell r="F67" t="str">
            <v>N</v>
          </cell>
        </row>
        <row r="68">
          <cell r="B68" t="str">
            <v>YSA_BALANCE</v>
          </cell>
          <cell r="D68">
            <v>150233435.03999999</v>
          </cell>
          <cell r="F68" t="str">
            <v>N</v>
          </cell>
        </row>
        <row r="69">
          <cell r="B69" t="str">
            <v>_KeyABSID</v>
          </cell>
          <cell r="C69" t="str">
            <v>R23B</v>
          </cell>
          <cell r="F69" t="str">
            <v>C</v>
          </cell>
        </row>
        <row r="70">
          <cell r="B70" t="str">
            <v>_KeyDate</v>
          </cell>
          <cell r="E70">
            <v>45260</v>
          </cell>
          <cell r="F70" t="str">
            <v>D</v>
          </cell>
        </row>
        <row r="71">
          <cell r="B71" t="str">
            <v>_KeyPeriod</v>
          </cell>
          <cell r="D71">
            <v>1</v>
          </cell>
          <cell r="F71" t="str">
            <v>N</v>
          </cell>
        </row>
      </sheetData>
      <sheetData sheetId="1" refreshError="1"/>
      <sheetData sheetId="2" refreshError="1"/>
      <sheetData sheetId="3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0702_CUM_LOSS_CNT</v>
          </cell>
          <cell r="D2">
            <v>0</v>
          </cell>
          <cell r="F2" t="str">
            <v>N</v>
          </cell>
        </row>
        <row r="3">
          <cell r="B3" t="str">
            <v>0702_CUM_LOSS_AMT</v>
          </cell>
          <cell r="D3">
            <v>0</v>
          </cell>
          <cell r="F3" t="str">
            <v>N</v>
          </cell>
        </row>
        <row r="4">
          <cell r="B4" t="str">
            <v>0702_COLLATERAL_BALANCE</v>
          </cell>
          <cell r="D4">
            <v>1449675307.3599999</v>
          </cell>
          <cell r="F4" t="str">
            <v>N</v>
          </cell>
        </row>
        <row r="5">
          <cell r="B5" t="str">
            <v>DISTRIBUTION_DATE</v>
          </cell>
          <cell r="D5">
            <v>0</v>
          </cell>
          <cell r="E5">
            <v>45245</v>
          </cell>
          <cell r="F5" t="str">
            <v>D</v>
          </cell>
        </row>
        <row r="6">
          <cell r="B6" t="str">
            <v>COLL_END_DATE</v>
          </cell>
          <cell r="D6">
            <v>0</v>
          </cell>
          <cell r="E6">
            <v>45230</v>
          </cell>
          <cell r="F6" t="str">
            <v>D</v>
          </cell>
        </row>
        <row r="7">
          <cell r="B7" t="str">
            <v>CLOSING_DATE</v>
          </cell>
          <cell r="D7">
            <v>0</v>
          </cell>
          <cell r="E7">
            <v>45224</v>
          </cell>
          <cell r="F7" t="str">
            <v>D</v>
          </cell>
        </row>
        <row r="8">
          <cell r="B8" t="str">
            <v>NOTEBAL_A1</v>
          </cell>
          <cell r="D8">
            <v>352000000</v>
          </cell>
          <cell r="F8" t="str">
            <v>N</v>
          </cell>
        </row>
        <row r="9">
          <cell r="B9" t="str">
            <v>NOTEBAL_A2a</v>
          </cell>
          <cell r="D9">
            <v>219500000</v>
          </cell>
          <cell r="F9" t="str">
            <v>N</v>
          </cell>
        </row>
        <row r="10">
          <cell r="B10" t="str">
            <v>NOTEBAL_A2b</v>
          </cell>
          <cell r="D10">
            <v>219500000</v>
          </cell>
          <cell r="F10" t="str">
            <v>N</v>
          </cell>
        </row>
        <row r="11">
          <cell r="B11" t="str">
            <v>NOTEBAL_A3</v>
          </cell>
          <cell r="D11">
            <v>376000000</v>
          </cell>
          <cell r="F11" t="str">
            <v>N</v>
          </cell>
        </row>
        <row r="12">
          <cell r="B12" t="str">
            <v>NOTEBAL_A4</v>
          </cell>
          <cell r="D12">
            <v>83000000</v>
          </cell>
          <cell r="F12" t="str">
            <v>N</v>
          </cell>
        </row>
        <row r="13">
          <cell r="B13" t="str">
            <v>NOTEBAL_C</v>
          </cell>
          <cell r="D13">
            <v>52083334.359999999</v>
          </cell>
          <cell r="F13" t="str">
            <v>N</v>
          </cell>
        </row>
        <row r="14">
          <cell r="B14" t="str">
            <v>YIELD_SUPPLEMENT_ACCOUNT</v>
          </cell>
          <cell r="D14">
            <v>0</v>
          </cell>
          <cell r="F14" t="str">
            <v>N</v>
          </cell>
        </row>
        <row r="15">
          <cell r="B15" t="str">
            <v>0702_RESERVE_FUND</v>
          </cell>
          <cell r="D15">
            <v>3255208.34</v>
          </cell>
          <cell r="F15" t="str">
            <v>N</v>
          </cell>
        </row>
        <row r="16">
          <cell r="B16" t="str">
            <v>SHORTFALL_INTEREST_A1</v>
          </cell>
          <cell r="D16">
            <v>0</v>
          </cell>
          <cell r="F16" t="str">
            <v>N</v>
          </cell>
        </row>
        <row r="17">
          <cell r="B17" t="str">
            <v>SHORTFALL_INTEREST_A2a</v>
          </cell>
          <cell r="D17">
            <v>0</v>
          </cell>
          <cell r="F17" t="str">
            <v>N</v>
          </cell>
        </row>
        <row r="18">
          <cell r="B18" t="str">
            <v>SHORTFALL_INTEREST_A2b</v>
          </cell>
          <cell r="D18">
            <v>0</v>
          </cell>
          <cell r="F18" t="str">
            <v>N</v>
          </cell>
        </row>
        <row r="19">
          <cell r="B19" t="str">
            <v>SHORTFALL_INTEREST_A3</v>
          </cell>
          <cell r="D19">
            <v>0</v>
          </cell>
          <cell r="F19" t="str">
            <v>N</v>
          </cell>
        </row>
        <row r="20">
          <cell r="B20" t="str">
            <v>SHORTFALL_INTEREST_A4</v>
          </cell>
          <cell r="D20">
            <v>0</v>
          </cell>
          <cell r="F20" t="str">
            <v>N</v>
          </cell>
        </row>
        <row r="21">
          <cell r="B21" t="str">
            <v>SHORTFALL_CLASS_A1_PRIN</v>
          </cell>
          <cell r="D21">
            <v>0</v>
          </cell>
          <cell r="F21" t="str">
            <v>N</v>
          </cell>
        </row>
        <row r="22">
          <cell r="B22" t="str">
            <v>SHORTFALL_CLASS_A2a_PRIN</v>
          </cell>
          <cell r="D22">
            <v>0</v>
          </cell>
          <cell r="F22" t="str">
            <v>N</v>
          </cell>
        </row>
        <row r="23">
          <cell r="B23" t="str">
            <v>SHORTFALL_CLASS_A2b_PRIN</v>
          </cell>
          <cell r="D23">
            <v>0</v>
          </cell>
          <cell r="F23" t="str">
            <v>N</v>
          </cell>
        </row>
        <row r="24">
          <cell r="B24" t="str">
            <v>SHORTFALL_CLASS_A3_PRIN</v>
          </cell>
          <cell r="D24">
            <v>0</v>
          </cell>
          <cell r="F24" t="str">
            <v>N</v>
          </cell>
        </row>
        <row r="25">
          <cell r="B25" t="str">
            <v>SHORTFALL_CLASS_A4_PRIN</v>
          </cell>
          <cell r="D25">
            <v>0</v>
          </cell>
          <cell r="F25" t="str">
            <v>N</v>
          </cell>
        </row>
        <row r="26">
          <cell r="B26" t="str">
            <v>SHORTFALL_CERT_PRIN</v>
          </cell>
          <cell r="D26">
            <v>0</v>
          </cell>
          <cell r="F26" t="str">
            <v>N</v>
          </cell>
        </row>
        <row r="27">
          <cell r="B27" t="str">
            <v>SHORTFALL_SVC_FEE</v>
          </cell>
          <cell r="D27">
            <v>0</v>
          </cell>
          <cell r="F27" t="str">
            <v>N</v>
          </cell>
        </row>
        <row r="28">
          <cell r="B28" t="str">
            <v>SHORTFALL_SWAP_PAY</v>
          </cell>
          <cell r="D28">
            <v>0</v>
          </cell>
          <cell r="F28" t="str">
            <v>N</v>
          </cell>
        </row>
        <row r="29">
          <cell r="B29" t="str">
            <v>SHORTFALL_SR_SWAP_TRM_PAY</v>
          </cell>
          <cell r="D29">
            <v>0</v>
          </cell>
          <cell r="F29" t="str">
            <v>N</v>
          </cell>
        </row>
        <row r="30">
          <cell r="B30" t="str">
            <v>SHORTFALL_SUB_SWAP_TRM_PA</v>
          </cell>
          <cell r="D30">
            <v>0</v>
          </cell>
          <cell r="F30" t="str">
            <v>N</v>
          </cell>
        </row>
        <row r="31">
          <cell r="B31" t="str">
            <v>NET_LOSS_RATIO_PREV_2ND</v>
          </cell>
          <cell r="D31">
            <v>0</v>
          </cell>
          <cell r="F31" t="str">
            <v>N</v>
          </cell>
        </row>
        <row r="32">
          <cell r="B32" t="str">
            <v>NET_LOSS_RATIO_PREV</v>
          </cell>
          <cell r="D32">
            <v>0</v>
          </cell>
          <cell r="F32" t="str">
            <v>N</v>
          </cell>
        </row>
        <row r="33">
          <cell r="B33" t="str">
            <v>DELQ_RATIO_PREV_2ND</v>
          </cell>
          <cell r="D33">
            <v>0</v>
          </cell>
          <cell r="F33" t="str">
            <v>N</v>
          </cell>
        </row>
        <row r="34">
          <cell r="B34" t="str">
            <v>DELQ_RATIO_PREV</v>
          </cell>
          <cell r="D34">
            <v>0</v>
          </cell>
          <cell r="F34" t="str">
            <v>N</v>
          </cell>
        </row>
        <row r="35">
          <cell r="B35" t="str">
            <v>COLLATERAL_COUNT</v>
          </cell>
          <cell r="D35">
            <v>79596</v>
          </cell>
          <cell r="F35" t="str">
            <v>N</v>
          </cell>
        </row>
        <row r="36">
          <cell r="B36" t="str">
            <v>REIMBURSE_SVC_ADV</v>
          </cell>
          <cell r="D36">
            <v>0</v>
          </cell>
          <cell r="F36" t="str">
            <v>N</v>
          </cell>
        </row>
        <row r="37">
          <cell r="B37" t="str">
            <v>TOTAL_INT_ACCRUAL</v>
          </cell>
          <cell r="D37">
            <v>0</v>
          </cell>
          <cell r="F37" t="str">
            <v>N</v>
          </cell>
        </row>
        <row r="38">
          <cell r="B38" t="str">
            <v>INT_ACCRUAL_A1</v>
          </cell>
          <cell r="D38">
            <v>0</v>
          </cell>
          <cell r="F38" t="str">
            <v>N</v>
          </cell>
        </row>
        <row r="39">
          <cell r="B39" t="str">
            <v>INT_ACCRUAL_A2a</v>
          </cell>
          <cell r="D39">
            <v>0</v>
          </cell>
          <cell r="F39" t="str">
            <v>N</v>
          </cell>
        </row>
        <row r="40">
          <cell r="B40" t="str">
            <v>INT_ACCRUAL_A2b</v>
          </cell>
          <cell r="D40">
            <v>0</v>
          </cell>
          <cell r="F40" t="str">
            <v>N</v>
          </cell>
        </row>
        <row r="41">
          <cell r="B41" t="str">
            <v>INT_ACCRUAL_A3</v>
          </cell>
          <cell r="D41">
            <v>0</v>
          </cell>
          <cell r="F41" t="str">
            <v>N</v>
          </cell>
        </row>
        <row r="42">
          <cell r="B42" t="str">
            <v>INT_ACCRUAL_A4</v>
          </cell>
          <cell r="D42">
            <v>0</v>
          </cell>
          <cell r="F42" t="str">
            <v>N</v>
          </cell>
        </row>
        <row r="43">
          <cell r="B43" t="str">
            <v>OVERCOLLATERAL_BALANCE</v>
          </cell>
          <cell r="D43">
            <v>147591973</v>
          </cell>
          <cell r="F43" t="str">
            <v>N</v>
          </cell>
        </row>
        <row r="44">
          <cell r="B44" t="str">
            <v>DELQ_RATIO_PREV_3RD</v>
          </cell>
          <cell r="D44">
            <v>0</v>
          </cell>
          <cell r="F44" t="str">
            <v>N</v>
          </cell>
        </row>
        <row r="45">
          <cell r="B45" t="str">
            <v>DELQ_RATIO_PREV_3RD_AMT</v>
          </cell>
          <cell r="D45">
            <v>0</v>
          </cell>
          <cell r="F45" t="str">
            <v>N</v>
          </cell>
        </row>
        <row r="46">
          <cell r="B46" t="str">
            <v>DELQ_RATIO_PREV_2ND_AMT</v>
          </cell>
          <cell r="D46">
            <v>0</v>
          </cell>
          <cell r="E46" t="str">
            <v xml:space="preserve">  </v>
          </cell>
          <cell r="F46" t="str">
            <v>N</v>
          </cell>
        </row>
        <row r="47">
          <cell r="B47" t="str">
            <v>DELQ_RATIO_PREV_AMT</v>
          </cell>
          <cell r="D47">
            <v>0</v>
          </cell>
          <cell r="F47" t="str">
            <v>N</v>
          </cell>
        </row>
        <row r="48">
          <cell r="B48" t="str">
            <v>NET_LOSS_RATIO_PREV_3RD</v>
          </cell>
          <cell r="D48">
            <v>0</v>
          </cell>
          <cell r="F48" t="str">
            <v>N</v>
          </cell>
        </row>
        <row r="49">
          <cell r="B49" t="str">
            <v>DELQ_TRIGGER</v>
          </cell>
          <cell r="D49">
            <v>4.9000000000000002E-2</v>
          </cell>
          <cell r="F49" t="str">
            <v>N</v>
          </cell>
        </row>
        <row r="50">
          <cell r="B50" t="str">
            <v>YSREQUIREDRATE</v>
          </cell>
          <cell r="D50">
            <v>4.9500000000000002E-2</v>
          </cell>
          <cell r="F50" t="str">
            <v>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1396272094.9400001</v>
          </cell>
          <cell r="C4">
            <v>75745</v>
          </cell>
        </row>
        <row r="5">
          <cell r="B5">
            <v>1346239494.45</v>
          </cell>
          <cell r="C5">
            <v>74870</v>
          </cell>
        </row>
        <row r="6">
          <cell r="B6">
            <v>139479250</v>
          </cell>
        </row>
        <row r="7">
          <cell r="B7">
            <v>132003549.76000001</v>
          </cell>
        </row>
        <row r="8">
          <cell r="B8">
            <v>1256792844.9400001</v>
          </cell>
        </row>
        <row r="9">
          <cell r="B9">
            <v>1214235944.6900001</v>
          </cell>
        </row>
        <row r="15">
          <cell r="B15">
            <v>145</v>
          </cell>
          <cell r="C15">
            <v>3052683.06</v>
          </cell>
          <cell r="D15">
            <v>2.2675631435453911E-3</v>
          </cell>
        </row>
        <row r="16">
          <cell r="B16">
            <v>21</v>
          </cell>
          <cell r="C16">
            <v>401935.61</v>
          </cell>
          <cell r="D16">
            <v>2.9856174303087796E-4</v>
          </cell>
        </row>
        <row r="17">
          <cell r="B17">
            <v>0</v>
          </cell>
          <cell r="C17">
            <v>0</v>
          </cell>
          <cell r="D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</row>
        <row r="19">
          <cell r="B19">
            <v>8</v>
          </cell>
          <cell r="C19">
            <v>177965.05</v>
          </cell>
        </row>
        <row r="20">
          <cell r="C20">
            <v>229158.11</v>
          </cell>
        </row>
        <row r="22">
          <cell r="B22">
            <v>0</v>
          </cell>
          <cell r="C22">
            <v>0</v>
          </cell>
        </row>
        <row r="23">
          <cell r="B23">
            <v>0</v>
          </cell>
          <cell r="C23">
            <v>0</v>
          </cell>
        </row>
        <row r="24">
          <cell r="B24">
            <v>1.32022E-5</v>
          </cell>
          <cell r="C24">
            <v>2.2087300000000001E-5</v>
          </cell>
        </row>
        <row r="27">
          <cell r="C27">
            <v>424945.36</v>
          </cell>
        </row>
        <row r="32">
          <cell r="B32">
            <v>134</v>
          </cell>
          <cell r="C32">
            <v>3305311.31</v>
          </cell>
        </row>
      </sheetData>
      <sheetData sheetId="12">
        <row r="6">
          <cell r="B6">
            <v>4229181.9000000004</v>
          </cell>
        </row>
        <row r="14">
          <cell r="B14">
            <v>49854635.439999998</v>
          </cell>
        </row>
        <row r="16">
          <cell r="B16">
            <v>56250</v>
          </cell>
        </row>
        <row r="28">
          <cell r="B28">
            <v>0</v>
          </cell>
        </row>
        <row r="29">
          <cell r="B29">
            <v>0</v>
          </cell>
        </row>
        <row r="31">
          <cell r="B31">
            <v>3.6499491100000003E-2</v>
          </cell>
        </row>
        <row r="32">
          <cell r="B32">
            <v>44.790315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8.8938310000000003E-4</v>
          </cell>
        </row>
      </sheetData>
      <sheetData sheetId="13">
        <row r="4">
          <cell r="B4">
            <v>3255208.34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3255208.34</v>
          </cell>
        </row>
        <row r="8">
          <cell r="B8">
            <v>3255208.34</v>
          </cell>
        </row>
      </sheetData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54140067.339999996</v>
          </cell>
          <cell r="D7">
            <v>3255208.34</v>
          </cell>
        </row>
        <row r="9">
          <cell r="B9">
            <v>0</v>
          </cell>
          <cell r="C9">
            <v>0</v>
          </cell>
        </row>
        <row r="10">
          <cell r="B10">
            <v>1163560.0791166667</v>
          </cell>
          <cell r="C10">
            <v>1163560.0791166667</v>
          </cell>
          <cell r="E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1459170.5</v>
          </cell>
        </row>
        <row r="14">
          <cell r="C14">
            <v>1088354.17</v>
          </cell>
        </row>
        <row r="15">
          <cell r="C15">
            <v>1076288.98</v>
          </cell>
        </row>
        <row r="16">
          <cell r="C16">
            <v>1858066.67</v>
          </cell>
        </row>
        <row r="17">
          <cell r="C17">
            <v>412233.33</v>
          </cell>
        </row>
        <row r="18">
          <cell r="C18">
            <v>42556900.249999762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</sheetData>
      <sheetData sheetId="16">
        <row r="1">
          <cell r="S1">
            <v>1</v>
          </cell>
        </row>
        <row r="4">
          <cell r="B4">
            <v>352000000</v>
          </cell>
          <cell r="C4">
            <v>306709510.57999998</v>
          </cell>
          <cell r="F4">
            <v>5.7090000000000002E-2</v>
          </cell>
          <cell r="H4">
            <v>1459170.5</v>
          </cell>
          <cell r="I4">
            <v>0</v>
          </cell>
          <cell r="J4">
            <v>0</v>
          </cell>
          <cell r="K4">
            <v>1459170.5</v>
          </cell>
          <cell r="L4">
            <v>0</v>
          </cell>
          <cell r="M4">
            <v>0</v>
          </cell>
          <cell r="N4">
            <v>42556900.249999762</v>
          </cell>
          <cell r="O4">
            <v>0</v>
          </cell>
          <cell r="P4">
            <v>264152610.33000022</v>
          </cell>
        </row>
        <row r="5">
          <cell r="B5">
            <v>219500000</v>
          </cell>
          <cell r="C5">
            <v>219500000</v>
          </cell>
          <cell r="F5">
            <v>5.9499999999999997E-2</v>
          </cell>
          <cell r="H5">
            <v>1088354.17</v>
          </cell>
          <cell r="I5">
            <v>0</v>
          </cell>
          <cell r="J5">
            <v>0</v>
          </cell>
          <cell r="K5">
            <v>1088354.17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219500000</v>
          </cell>
        </row>
        <row r="6">
          <cell r="B6">
            <v>219500000</v>
          </cell>
          <cell r="C6">
            <v>219500000</v>
          </cell>
          <cell r="F6">
            <v>5.8840400000000001E-2</v>
          </cell>
          <cell r="H6">
            <v>1076288.98</v>
          </cell>
          <cell r="I6">
            <v>0</v>
          </cell>
          <cell r="J6">
            <v>0</v>
          </cell>
          <cell r="K6">
            <v>1076288.98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219500000</v>
          </cell>
        </row>
        <row r="7">
          <cell r="B7">
            <v>376000000</v>
          </cell>
          <cell r="C7">
            <v>376000000</v>
          </cell>
          <cell r="F7">
            <v>5.9299999999999999E-2</v>
          </cell>
          <cell r="H7">
            <v>1858066.67</v>
          </cell>
          <cell r="I7">
            <v>0</v>
          </cell>
          <cell r="J7">
            <v>0</v>
          </cell>
          <cell r="K7">
            <v>1858066.67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376000000</v>
          </cell>
        </row>
        <row r="8">
          <cell r="B8">
            <v>83000000</v>
          </cell>
          <cell r="C8">
            <v>83000000</v>
          </cell>
          <cell r="F8">
            <v>5.96E-2</v>
          </cell>
          <cell r="H8">
            <v>412233.33</v>
          </cell>
          <cell r="I8">
            <v>0</v>
          </cell>
          <cell r="K8">
            <v>412233.33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83000000</v>
          </cell>
        </row>
        <row r="9">
          <cell r="B9">
            <v>52083334.359999999</v>
          </cell>
          <cell r="C9">
            <v>52083334.359999999</v>
          </cell>
          <cell r="M9">
            <v>0</v>
          </cell>
          <cell r="N9">
            <v>0</v>
          </cell>
          <cell r="O9">
            <v>0</v>
          </cell>
          <cell r="P9">
            <v>52083334.359999999</v>
          </cell>
        </row>
        <row r="15">
          <cell r="C15">
            <v>45224</v>
          </cell>
        </row>
        <row r="16">
          <cell r="C16">
            <v>45245</v>
          </cell>
        </row>
        <row r="17">
          <cell r="C17">
            <v>45245</v>
          </cell>
        </row>
        <row r="18">
          <cell r="C18">
            <v>45275</v>
          </cell>
        </row>
        <row r="19">
          <cell r="C19">
            <v>45230</v>
          </cell>
        </row>
        <row r="20">
          <cell r="C20">
            <v>45260</v>
          </cell>
        </row>
        <row r="23">
          <cell r="C23">
            <v>45611</v>
          </cell>
        </row>
        <row r="24">
          <cell r="C24">
            <v>46157</v>
          </cell>
        </row>
        <row r="26">
          <cell r="C26">
            <v>46888</v>
          </cell>
        </row>
        <row r="27">
          <cell r="C27">
            <v>47771</v>
          </cell>
        </row>
        <row r="30">
          <cell r="C30">
            <v>30</v>
          </cell>
        </row>
        <row r="31">
          <cell r="C31">
            <v>30</v>
          </cell>
        </row>
      </sheetData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0702_COLLATERAL_BALANCE</v>
          </cell>
          <cell r="D2">
            <v>1296621187.2</v>
          </cell>
          <cell r="F2" t="str">
            <v>N</v>
          </cell>
        </row>
        <row r="3">
          <cell r="B3" t="str">
            <v>0702_CURRENT_AMT</v>
          </cell>
          <cell r="D3">
            <v>0</v>
          </cell>
          <cell r="F3" t="str">
            <v>N</v>
          </cell>
        </row>
        <row r="4">
          <cell r="B4" t="str">
            <v>0702_CURRENT_CNT</v>
          </cell>
          <cell r="D4">
            <v>3394</v>
          </cell>
          <cell r="F4" t="str">
            <v>N</v>
          </cell>
        </row>
        <row r="5">
          <cell r="B5" t="str">
            <v>0702_CURRENT_MONTH_EXTENSIONS</v>
          </cell>
          <cell r="D5">
            <v>4447040.09</v>
          </cell>
          <cell r="F5" t="str">
            <v>N</v>
          </cell>
        </row>
        <row r="6">
          <cell r="B6" t="str">
            <v>0702_CURRENT_MONTH_EXTENSIONS_CNT</v>
          </cell>
          <cell r="D6">
            <v>192</v>
          </cell>
          <cell r="F6" t="str">
            <v>N</v>
          </cell>
        </row>
        <row r="7">
          <cell r="B7" t="str">
            <v>0702_DAILY_REMIT</v>
          </cell>
          <cell r="D7">
            <v>53344276.50999999</v>
          </cell>
          <cell r="F7" t="str">
            <v>N</v>
          </cell>
        </row>
        <row r="8">
          <cell r="B8" t="str">
            <v>0702_DELINQ_60_PLUS_AMT</v>
          </cell>
          <cell r="D8">
            <v>736474.15</v>
          </cell>
          <cell r="F8" t="str">
            <v>N</v>
          </cell>
        </row>
        <row r="9">
          <cell r="B9" t="str">
            <v>0702_DELINQ_60_PLUS_CNT</v>
          </cell>
          <cell r="D9">
            <v>39</v>
          </cell>
          <cell r="F9" t="str">
            <v>N</v>
          </cell>
        </row>
        <row r="10">
          <cell r="B10" t="str">
            <v>0702_DELQ_121_PLUS_AMT</v>
          </cell>
          <cell r="D10">
            <v>0</v>
          </cell>
          <cell r="F10" t="str">
            <v>N</v>
          </cell>
        </row>
        <row r="11">
          <cell r="B11" t="str">
            <v>0702_DELQ_121_PLUS_CNT</v>
          </cell>
          <cell r="D11">
            <v>0</v>
          </cell>
          <cell r="F11" t="str">
            <v>N</v>
          </cell>
        </row>
        <row r="12">
          <cell r="B12" t="str">
            <v>0702_DELQ_31_60_AMT</v>
          </cell>
          <cell r="D12">
            <v>3090916.73</v>
          </cell>
          <cell r="F12" t="str">
            <v>N</v>
          </cell>
        </row>
        <row r="13">
          <cell r="B13" t="str">
            <v>0702_DELQ_31_60_CNT</v>
          </cell>
          <cell r="D13">
            <v>162</v>
          </cell>
          <cell r="F13" t="str">
            <v>N</v>
          </cell>
        </row>
        <row r="14">
          <cell r="B14" t="str">
            <v>0702_DELQ_61_90_AMT</v>
          </cell>
          <cell r="D14">
            <v>500872.59</v>
          </cell>
          <cell r="F14" t="str">
            <v>N</v>
          </cell>
        </row>
        <row r="15">
          <cell r="B15" t="str">
            <v>0702_DELQ_61_90_CNT</v>
          </cell>
          <cell r="D15">
            <v>27</v>
          </cell>
          <cell r="F15" t="str">
            <v>N</v>
          </cell>
        </row>
        <row r="16">
          <cell r="B16" t="str">
            <v>0702_DELQ_91_120_AMT</v>
          </cell>
          <cell r="D16">
            <v>193033.69</v>
          </cell>
          <cell r="F16" t="str">
            <v>N</v>
          </cell>
        </row>
        <row r="17">
          <cell r="B17" t="str">
            <v>0702_DELQ_91_120_CNT</v>
          </cell>
          <cell r="D17">
            <v>10</v>
          </cell>
          <cell r="F17" t="str">
            <v>N</v>
          </cell>
        </row>
        <row r="18">
          <cell r="B18" t="str">
            <v>ADM_PURCH_PAY</v>
          </cell>
          <cell r="D18">
            <v>0</v>
          </cell>
          <cell r="F18" t="str">
            <v>N</v>
          </cell>
        </row>
        <row r="19">
          <cell r="B19" t="str">
            <v>COLL_END_DATE</v>
          </cell>
          <cell r="D19">
            <v>0</v>
          </cell>
          <cell r="E19">
            <v>45291</v>
          </cell>
          <cell r="F19" t="str">
            <v>D</v>
          </cell>
        </row>
        <row r="20">
          <cell r="B20" t="str">
            <v>COLLATERAL_COUNT</v>
          </cell>
          <cell r="D20">
            <v>73957</v>
          </cell>
          <cell r="F20" t="str">
            <v>N</v>
          </cell>
        </row>
        <row r="21">
          <cell r="B21" t="str">
            <v>COUNTERPARTY_PMT</v>
          </cell>
          <cell r="D21">
            <v>0</v>
          </cell>
          <cell r="F21" t="str">
            <v>N</v>
          </cell>
        </row>
        <row r="22">
          <cell r="B22" t="str">
            <v>DEBT_SALE_RECOVERIES</v>
          </cell>
          <cell r="D22">
            <v>0</v>
          </cell>
          <cell r="F22" t="str">
            <v>N</v>
          </cell>
        </row>
        <row r="23">
          <cell r="B23" t="str">
            <v>DISTRIBUTION_DATE</v>
          </cell>
          <cell r="D23">
            <v>0</v>
          </cell>
          <cell r="E23">
            <v>45307</v>
          </cell>
          <cell r="F23" t="str">
            <v>D</v>
          </cell>
        </row>
        <row r="24">
          <cell r="B24" t="str">
            <v>EARNING_YIELD_SUPPLEMENT</v>
          </cell>
          <cell r="D24">
            <v>0</v>
          </cell>
          <cell r="F24" t="str">
            <v>N</v>
          </cell>
        </row>
        <row r="25">
          <cell r="B25" t="str">
            <v>EVENT_DEFAULT_A</v>
          </cell>
          <cell r="C25" t="str">
            <v>NO</v>
          </cell>
          <cell r="D25">
            <v>0</v>
          </cell>
          <cell r="F25" t="str">
            <v>C</v>
          </cell>
        </row>
        <row r="26">
          <cell r="B26" t="str">
            <v>EVENT_DEFAULT_B</v>
          </cell>
          <cell r="C26" t="str">
            <v>NO</v>
          </cell>
          <cell r="D26">
            <v>0</v>
          </cell>
          <cell r="F26" t="str">
            <v>N</v>
          </cell>
        </row>
        <row r="27">
          <cell r="B27" t="str">
            <v>EVENT_DEFAULT_C</v>
          </cell>
          <cell r="C27" t="str">
            <v>NO</v>
          </cell>
          <cell r="D27">
            <v>0</v>
          </cell>
          <cell r="F27" t="str">
            <v>N</v>
          </cell>
        </row>
        <row r="28">
          <cell r="B28" t="str">
            <v>EVENT_DEFAULT_D</v>
          </cell>
          <cell r="C28" t="str">
            <v>NO</v>
          </cell>
          <cell r="D28">
            <v>0</v>
          </cell>
          <cell r="F28" t="str">
            <v>N</v>
          </cell>
        </row>
        <row r="29">
          <cell r="B29" t="str">
            <v>EVENT_DEFAULT_E</v>
          </cell>
          <cell r="C29" t="str">
            <v>NO</v>
          </cell>
          <cell r="D29">
            <v>0</v>
          </cell>
          <cell r="F29" t="str">
            <v>N</v>
          </cell>
        </row>
        <row r="30">
          <cell r="B30" t="str">
            <v>INT_ACCRUED_UNPAID</v>
          </cell>
          <cell r="D30">
            <v>0</v>
          </cell>
          <cell r="F30" t="str">
            <v>N</v>
          </cell>
        </row>
        <row r="31">
          <cell r="B31" t="str">
            <v>INT_COLL_ACCT</v>
          </cell>
          <cell r="D31">
            <v>230200.03</v>
          </cell>
          <cell r="F31" t="str">
            <v>N</v>
          </cell>
        </row>
        <row r="32">
          <cell r="B32" t="str">
            <v>INT_NET_LIQ_PROCEEDS</v>
          </cell>
          <cell r="D32">
            <v>94.85</v>
          </cell>
          <cell r="F32" t="str">
            <v>N</v>
          </cell>
        </row>
        <row r="33">
          <cell r="B33" t="str">
            <v>INT_REPURCHASE_PROCEED</v>
          </cell>
          <cell r="D33">
            <v>0</v>
          </cell>
          <cell r="F33" t="str">
            <v>N</v>
          </cell>
        </row>
        <row r="34">
          <cell r="B34" t="str">
            <v>INT_RESERVE_ACCT</v>
          </cell>
          <cell r="D34">
            <v>14862.76</v>
          </cell>
          <cell r="F34" t="str">
            <v>N</v>
          </cell>
        </row>
        <row r="35">
          <cell r="B35" t="str">
            <v>INTEREST_COLLECTIONS</v>
          </cell>
          <cell r="D35">
            <v>3977880.62</v>
          </cell>
          <cell r="F35" t="str">
            <v>N</v>
          </cell>
        </row>
        <row r="36">
          <cell r="B36" t="str">
            <v>INVESTEARNEDYSA</v>
          </cell>
          <cell r="D36">
            <v>0</v>
          </cell>
          <cell r="F36" t="str">
            <v>N</v>
          </cell>
        </row>
        <row r="37">
          <cell r="B37" t="str">
            <v>LIBOR_RATE</v>
          </cell>
          <cell r="D37">
            <v>5.3384399999999999E-2</v>
          </cell>
          <cell r="F37" t="str">
            <v>N</v>
          </cell>
        </row>
        <row r="38">
          <cell r="B38" t="str">
            <v>LOSS_AMT</v>
          </cell>
          <cell r="D38">
            <v>262797.7</v>
          </cell>
          <cell r="F38" t="str">
            <v>N</v>
          </cell>
        </row>
        <row r="39">
          <cell r="B39" t="str">
            <v>LOSS_CNT</v>
          </cell>
          <cell r="D39">
            <v>14</v>
          </cell>
          <cell r="F39" t="str">
            <v>N</v>
          </cell>
        </row>
        <row r="40">
          <cell r="B40" t="str">
            <v>NET_SWAP_PAYMENTS</v>
          </cell>
          <cell r="D40">
            <v>0</v>
          </cell>
          <cell r="F40" t="str">
            <v>N</v>
          </cell>
        </row>
        <row r="41">
          <cell r="B41" t="str">
            <v>NET_SWAP_RECEIPTS</v>
          </cell>
          <cell r="D41">
            <v>0</v>
          </cell>
          <cell r="F41" t="str">
            <v>N</v>
          </cell>
        </row>
        <row r="42">
          <cell r="B42" t="str">
            <v>OPTIONAL_PURCHASE</v>
          </cell>
          <cell r="D42">
            <v>0</v>
          </cell>
          <cell r="F42" t="str">
            <v>N</v>
          </cell>
        </row>
        <row r="43">
          <cell r="B43" t="str">
            <v>OVERCOLLATERALIZATION_AMT</v>
          </cell>
          <cell r="D43">
            <v>124791068.59999999</v>
          </cell>
          <cell r="F43" t="str">
            <v>N</v>
          </cell>
        </row>
        <row r="44">
          <cell r="B44" t="str">
            <v>PI_ADV</v>
          </cell>
          <cell r="D44">
            <v>0</v>
          </cell>
          <cell r="F44" t="str">
            <v>N</v>
          </cell>
        </row>
        <row r="45">
          <cell r="B45" t="str">
            <v>POOL_WAC</v>
          </cell>
          <cell r="D45">
            <v>3.6689271400000001E-2</v>
          </cell>
          <cell r="F45" t="str">
            <v>N</v>
          </cell>
        </row>
        <row r="46">
          <cell r="B46" t="str">
            <v>POOL_WARM</v>
          </cell>
          <cell r="D46">
            <v>44.075986</v>
          </cell>
          <cell r="F46" t="str">
            <v>N</v>
          </cell>
        </row>
        <row r="47">
          <cell r="B47" t="str">
            <v>PRIN_NET_LIQ_PROCEEDS</v>
          </cell>
          <cell r="D47">
            <v>33918</v>
          </cell>
          <cell r="F47" t="str">
            <v>N</v>
          </cell>
        </row>
        <row r="48">
          <cell r="B48" t="str">
            <v>PRIN_REPURCHASE_PROCEED</v>
          </cell>
          <cell r="D48">
            <v>0</v>
          </cell>
          <cell r="F48" t="str">
            <v>N</v>
          </cell>
        </row>
        <row r="49">
          <cell r="B49" t="str">
            <v>PRINCIPAL_COLLECTIONS</v>
          </cell>
          <cell r="D49">
            <v>49355509.549999997</v>
          </cell>
          <cell r="F49" t="str">
            <v>N</v>
          </cell>
        </row>
        <row r="50">
          <cell r="B50" t="str">
            <v>RECEIVED_DATE</v>
          </cell>
          <cell r="D50">
            <v>0</v>
          </cell>
          <cell r="E50">
            <v>45294</v>
          </cell>
          <cell r="F50" t="str">
            <v>D</v>
          </cell>
        </row>
        <row r="51">
          <cell r="B51" t="str">
            <v>RECOVERIES_ADV</v>
          </cell>
          <cell r="D51">
            <v>0</v>
          </cell>
          <cell r="F51" t="str">
            <v>N</v>
          </cell>
        </row>
        <row r="52">
          <cell r="B52" t="str">
            <v>RECOVERY_ADJ</v>
          </cell>
          <cell r="D52">
            <v>0</v>
          </cell>
          <cell r="F52" t="str">
            <v>N</v>
          </cell>
        </row>
        <row r="53">
          <cell r="B53" t="str">
            <v>RESCISSION</v>
          </cell>
          <cell r="C53" t="str">
            <v>NO</v>
          </cell>
          <cell r="D53">
            <v>0</v>
          </cell>
          <cell r="F53" t="str">
            <v>N</v>
          </cell>
        </row>
        <row r="54">
          <cell r="B54" t="str">
            <v>RESERVE_TO_COLL_TRANSFER</v>
          </cell>
          <cell r="D54">
            <v>0</v>
          </cell>
          <cell r="F54" t="str">
            <v>N</v>
          </cell>
        </row>
        <row r="55">
          <cell r="B55" t="str">
            <v>SEN_SWAP_TERM_PAYMENTS</v>
          </cell>
          <cell r="D55">
            <v>0</v>
          </cell>
          <cell r="F55" t="str">
            <v>N</v>
          </cell>
        </row>
        <row r="56">
          <cell r="B56" t="str">
            <v>STMNT_TO_NOTEHLD_1</v>
          </cell>
          <cell r="C56" t="str">
            <v>NO</v>
          </cell>
          <cell r="D56">
            <v>0</v>
          </cell>
          <cell r="F56" t="str">
            <v>N</v>
          </cell>
        </row>
        <row r="57">
          <cell r="B57" t="str">
            <v>STMNT_TO_NOTEHLD_2</v>
          </cell>
          <cell r="C57" t="str">
            <v>NO</v>
          </cell>
          <cell r="D57">
            <v>0</v>
          </cell>
          <cell r="F57" t="str">
            <v>N</v>
          </cell>
        </row>
        <row r="58">
          <cell r="B58" t="str">
            <v>STMNT_TO_NOTEHLD_3</v>
          </cell>
          <cell r="C58" t="str">
            <v>NO</v>
          </cell>
          <cell r="D58">
            <v>0</v>
          </cell>
          <cell r="F58" t="str">
            <v>N</v>
          </cell>
        </row>
        <row r="59">
          <cell r="B59" t="str">
            <v>STMNT_TO_NOTEHLD_4</v>
          </cell>
          <cell r="C59" t="str">
            <v>NO</v>
          </cell>
          <cell r="D59">
            <v>0</v>
          </cell>
          <cell r="F59" t="str">
            <v>N</v>
          </cell>
        </row>
        <row r="60">
          <cell r="B60" t="str">
            <v>STMNT_TO_NOTEHLD_5</v>
          </cell>
          <cell r="C60" t="str">
            <v>NO</v>
          </cell>
          <cell r="D60">
            <v>0</v>
          </cell>
          <cell r="F60" t="str">
            <v>N</v>
          </cell>
        </row>
        <row r="61">
          <cell r="B61" t="str">
            <v>STMNT_TO_NOTEHLD_6</v>
          </cell>
          <cell r="C61" t="str">
            <v>NO</v>
          </cell>
          <cell r="D61">
            <v>0</v>
          </cell>
          <cell r="F61" t="str">
            <v>N</v>
          </cell>
        </row>
        <row r="62">
          <cell r="B62" t="str">
            <v>SUB_SWAP_TERM_PAYMENTS</v>
          </cell>
          <cell r="D62">
            <v>0</v>
          </cell>
          <cell r="F62" t="str">
            <v>N</v>
          </cell>
        </row>
        <row r="63">
          <cell r="B63" t="str">
            <v>SWAP_REPLACEMENT_PROCEEDS</v>
          </cell>
          <cell r="D63">
            <v>0</v>
          </cell>
          <cell r="F63" t="str">
            <v>N</v>
          </cell>
        </row>
        <row r="64">
          <cell r="B64" t="str">
            <v>SWAP_TERM_RECEIPT</v>
          </cell>
          <cell r="D64">
            <v>0</v>
          </cell>
          <cell r="F64" t="str">
            <v>N</v>
          </cell>
        </row>
        <row r="65">
          <cell r="B65" t="str">
            <v>test</v>
          </cell>
          <cell r="D65">
            <v>0</v>
          </cell>
          <cell r="F65" t="str">
            <v>D</v>
          </cell>
        </row>
        <row r="66">
          <cell r="B66" t="str">
            <v>test2</v>
          </cell>
          <cell r="D66">
            <v>0</v>
          </cell>
          <cell r="F66" t="str">
            <v>N</v>
          </cell>
        </row>
        <row r="67">
          <cell r="B67" t="str">
            <v>WARRANT_PAY</v>
          </cell>
          <cell r="D67">
            <v>0</v>
          </cell>
          <cell r="F67" t="str">
            <v>N</v>
          </cell>
        </row>
        <row r="68">
          <cell r="B68" t="str">
            <v>YSA_BALANCE</v>
          </cell>
          <cell r="D68">
            <v>141769074.56</v>
          </cell>
          <cell r="F68" t="str">
            <v>N</v>
          </cell>
        </row>
        <row r="69">
          <cell r="B69" t="str">
            <v>_KeyABSID</v>
          </cell>
          <cell r="C69" t="str">
            <v>R23B</v>
          </cell>
          <cell r="F69" t="str">
            <v>C</v>
          </cell>
        </row>
        <row r="70">
          <cell r="B70" t="str">
            <v>_KeyDate</v>
          </cell>
          <cell r="E70">
            <v>45291</v>
          </cell>
          <cell r="F70" t="str">
            <v>D</v>
          </cell>
        </row>
        <row r="71">
          <cell r="B71" t="str">
            <v>_KeyPeriod</v>
          </cell>
          <cell r="D71">
            <v>2</v>
          </cell>
          <cell r="F71" t="str">
            <v>N</v>
          </cell>
        </row>
      </sheetData>
      <sheetData sheetId="1"/>
      <sheetData sheetId="2"/>
      <sheetData sheetId="3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0702_CUM_LOSS_CNT</v>
          </cell>
          <cell r="D2">
            <v>0</v>
          </cell>
          <cell r="F2" t="str">
            <v>N</v>
          </cell>
        </row>
        <row r="3">
          <cell r="B3" t="str">
            <v>0702_CUM_LOSS_AMT</v>
          </cell>
          <cell r="D3">
            <v>0</v>
          </cell>
          <cell r="F3" t="str">
            <v>N</v>
          </cell>
        </row>
        <row r="4">
          <cell r="B4" t="str">
            <v>0702_COLLATERAL_BALANCE</v>
          </cell>
          <cell r="D4">
            <v>1449675307.3599999</v>
          </cell>
          <cell r="F4" t="str">
            <v>N</v>
          </cell>
        </row>
        <row r="5">
          <cell r="B5" t="str">
            <v>DISTRIBUTION_DATE</v>
          </cell>
          <cell r="D5">
            <v>0</v>
          </cell>
          <cell r="E5">
            <v>45245</v>
          </cell>
          <cell r="F5" t="str">
            <v>D</v>
          </cell>
        </row>
        <row r="6">
          <cell r="B6" t="str">
            <v>COLL_END_DATE</v>
          </cell>
          <cell r="D6">
            <v>0</v>
          </cell>
          <cell r="E6">
            <v>45230</v>
          </cell>
          <cell r="F6" t="str">
            <v>D</v>
          </cell>
        </row>
        <row r="7">
          <cell r="B7" t="str">
            <v>CLOSING_DATE</v>
          </cell>
          <cell r="D7">
            <v>0</v>
          </cell>
          <cell r="E7">
            <v>45224</v>
          </cell>
          <cell r="F7" t="str">
            <v>D</v>
          </cell>
        </row>
        <row r="8">
          <cell r="B8" t="str">
            <v>NOTEBAL_A1</v>
          </cell>
          <cell r="D8">
            <v>352000000</v>
          </cell>
          <cell r="F8" t="str">
            <v>N</v>
          </cell>
        </row>
        <row r="9">
          <cell r="B9" t="str">
            <v>NOTEBAL_A2a</v>
          </cell>
          <cell r="D9">
            <v>219500000</v>
          </cell>
          <cell r="F9" t="str">
            <v>N</v>
          </cell>
        </row>
        <row r="10">
          <cell r="B10" t="str">
            <v>NOTEBAL_A2b</v>
          </cell>
          <cell r="D10">
            <v>219500000</v>
          </cell>
          <cell r="F10" t="str">
            <v>N</v>
          </cell>
        </row>
        <row r="11">
          <cell r="B11" t="str">
            <v>NOTEBAL_A3</v>
          </cell>
          <cell r="D11">
            <v>376000000</v>
          </cell>
          <cell r="F11" t="str">
            <v>N</v>
          </cell>
        </row>
        <row r="12">
          <cell r="B12" t="str">
            <v>NOTEBAL_A4</v>
          </cell>
          <cell r="D12">
            <v>83000000</v>
          </cell>
          <cell r="F12" t="str">
            <v>N</v>
          </cell>
        </row>
        <row r="13">
          <cell r="B13" t="str">
            <v>NOTEBAL_C</v>
          </cell>
          <cell r="D13">
            <v>52083334.359999999</v>
          </cell>
          <cell r="F13" t="str">
            <v>N</v>
          </cell>
        </row>
        <row r="14">
          <cell r="B14" t="str">
            <v>YIELD_SUPPLEMENT_ACCOUNT</v>
          </cell>
          <cell r="D14">
            <v>0</v>
          </cell>
          <cell r="F14" t="str">
            <v>N</v>
          </cell>
        </row>
        <row r="15">
          <cell r="B15" t="str">
            <v>0702_RESERVE_FUND</v>
          </cell>
          <cell r="D15">
            <v>3255208.34</v>
          </cell>
          <cell r="F15" t="str">
            <v>N</v>
          </cell>
        </row>
        <row r="16">
          <cell r="B16" t="str">
            <v>SHORTFALL_INTEREST_A1</v>
          </cell>
          <cell r="D16">
            <v>0</v>
          </cell>
          <cell r="F16" t="str">
            <v>N</v>
          </cell>
        </row>
        <row r="17">
          <cell r="B17" t="str">
            <v>SHORTFALL_INTEREST_A2a</v>
          </cell>
          <cell r="D17">
            <v>0</v>
          </cell>
          <cell r="F17" t="str">
            <v>N</v>
          </cell>
        </row>
        <row r="18">
          <cell r="B18" t="str">
            <v>SHORTFALL_INTEREST_A2b</v>
          </cell>
          <cell r="D18">
            <v>0</v>
          </cell>
          <cell r="F18" t="str">
            <v>N</v>
          </cell>
        </row>
        <row r="19">
          <cell r="B19" t="str">
            <v>SHORTFALL_INTEREST_A3</v>
          </cell>
          <cell r="D19">
            <v>0</v>
          </cell>
          <cell r="F19" t="str">
            <v>N</v>
          </cell>
        </row>
        <row r="20">
          <cell r="B20" t="str">
            <v>SHORTFALL_INTEREST_A4</v>
          </cell>
          <cell r="D20">
            <v>0</v>
          </cell>
          <cell r="F20" t="str">
            <v>N</v>
          </cell>
        </row>
        <row r="21">
          <cell r="B21" t="str">
            <v>SHORTFALL_CLASS_A1_PRIN</v>
          </cell>
          <cell r="D21">
            <v>0</v>
          </cell>
          <cell r="F21" t="str">
            <v>N</v>
          </cell>
        </row>
        <row r="22">
          <cell r="B22" t="str">
            <v>SHORTFALL_CLASS_A2a_PRIN</v>
          </cell>
          <cell r="D22">
            <v>0</v>
          </cell>
          <cell r="F22" t="str">
            <v>N</v>
          </cell>
        </row>
        <row r="23">
          <cell r="B23" t="str">
            <v>SHORTFALL_CLASS_A2b_PRIN</v>
          </cell>
          <cell r="D23">
            <v>0</v>
          </cell>
          <cell r="F23" t="str">
            <v>N</v>
          </cell>
        </row>
        <row r="24">
          <cell r="B24" t="str">
            <v>SHORTFALL_CLASS_A3_PRIN</v>
          </cell>
          <cell r="D24">
            <v>0</v>
          </cell>
          <cell r="F24" t="str">
            <v>N</v>
          </cell>
        </row>
        <row r="25">
          <cell r="B25" t="str">
            <v>SHORTFALL_CLASS_A4_PRIN</v>
          </cell>
          <cell r="D25">
            <v>0</v>
          </cell>
          <cell r="F25" t="str">
            <v>N</v>
          </cell>
        </row>
        <row r="26">
          <cell r="B26" t="str">
            <v>SHORTFALL_CERT_PRIN</v>
          </cell>
          <cell r="D26">
            <v>0</v>
          </cell>
          <cell r="F26" t="str">
            <v>N</v>
          </cell>
        </row>
        <row r="27">
          <cell r="B27" t="str">
            <v>SHORTFALL_SVC_FEE</v>
          </cell>
          <cell r="D27">
            <v>0</v>
          </cell>
          <cell r="F27" t="str">
            <v>N</v>
          </cell>
        </row>
        <row r="28">
          <cell r="B28" t="str">
            <v>SHORTFALL_SWAP_PAY</v>
          </cell>
          <cell r="D28">
            <v>0</v>
          </cell>
          <cell r="F28" t="str">
            <v>N</v>
          </cell>
        </row>
        <row r="29">
          <cell r="B29" t="str">
            <v>SHORTFALL_SR_SWAP_TRM_PAY</v>
          </cell>
          <cell r="D29">
            <v>0</v>
          </cell>
          <cell r="F29" t="str">
            <v>N</v>
          </cell>
        </row>
        <row r="30">
          <cell r="B30" t="str">
            <v>SHORTFALL_SUB_SWAP_TRM_PA</v>
          </cell>
          <cell r="D30">
            <v>0</v>
          </cell>
          <cell r="F30" t="str">
            <v>N</v>
          </cell>
        </row>
        <row r="31">
          <cell r="B31" t="str">
            <v>NET_LOSS_RATIO_PREV_2ND</v>
          </cell>
          <cell r="D31">
            <v>0</v>
          </cell>
          <cell r="F31" t="str">
            <v>N</v>
          </cell>
        </row>
        <row r="32">
          <cell r="B32" t="str">
            <v>NET_LOSS_RATIO_PREV</v>
          </cell>
          <cell r="D32">
            <v>0</v>
          </cell>
          <cell r="F32" t="str">
            <v>N</v>
          </cell>
        </row>
        <row r="33">
          <cell r="B33" t="str">
            <v>DELQ_RATIO_PREV_2ND</v>
          </cell>
          <cell r="D33">
            <v>0</v>
          </cell>
          <cell r="F33" t="str">
            <v>N</v>
          </cell>
        </row>
        <row r="34">
          <cell r="B34" t="str">
            <v>DELQ_RATIO_PREV</v>
          </cell>
          <cell r="D34">
            <v>0</v>
          </cell>
          <cell r="F34" t="str">
            <v>N</v>
          </cell>
        </row>
        <row r="35">
          <cell r="B35" t="str">
            <v>COLLATERAL_COUNT</v>
          </cell>
          <cell r="D35">
            <v>79596</v>
          </cell>
          <cell r="F35" t="str">
            <v>N</v>
          </cell>
        </row>
        <row r="36">
          <cell r="B36" t="str">
            <v>REIMBURSE_SVC_ADV</v>
          </cell>
          <cell r="D36">
            <v>0</v>
          </cell>
          <cell r="F36" t="str">
            <v>N</v>
          </cell>
        </row>
        <row r="37">
          <cell r="B37" t="str">
            <v>TOTAL_INT_ACCRUAL</v>
          </cell>
          <cell r="D37">
            <v>0</v>
          </cell>
          <cell r="F37" t="str">
            <v>N</v>
          </cell>
        </row>
        <row r="38">
          <cell r="B38" t="str">
            <v>INT_ACCRUAL_A1</v>
          </cell>
          <cell r="D38">
            <v>0</v>
          </cell>
          <cell r="F38" t="str">
            <v>N</v>
          </cell>
        </row>
        <row r="39">
          <cell r="B39" t="str">
            <v>INT_ACCRUAL_A2a</v>
          </cell>
          <cell r="D39">
            <v>0</v>
          </cell>
          <cell r="F39" t="str">
            <v>N</v>
          </cell>
        </row>
        <row r="40">
          <cell r="B40" t="str">
            <v>INT_ACCRUAL_A2b</v>
          </cell>
          <cell r="D40">
            <v>0</v>
          </cell>
          <cell r="F40" t="str">
            <v>N</v>
          </cell>
        </row>
        <row r="41">
          <cell r="B41" t="str">
            <v>INT_ACCRUAL_A3</v>
          </cell>
          <cell r="D41">
            <v>0</v>
          </cell>
          <cell r="F41" t="str">
            <v>N</v>
          </cell>
        </row>
        <row r="42">
          <cell r="B42" t="str">
            <v>INT_ACCRUAL_A4</v>
          </cell>
          <cell r="D42">
            <v>0</v>
          </cell>
          <cell r="F42" t="str">
            <v>N</v>
          </cell>
        </row>
        <row r="43">
          <cell r="B43" t="str">
            <v>OVERCOLLATERAL_BALANCE</v>
          </cell>
          <cell r="D43">
            <v>147591973</v>
          </cell>
          <cell r="F43" t="str">
            <v>N</v>
          </cell>
        </row>
        <row r="44">
          <cell r="B44" t="str">
            <v>DELQ_RATIO_PREV_3RD</v>
          </cell>
          <cell r="D44">
            <v>0</v>
          </cell>
          <cell r="F44" t="str">
            <v>N</v>
          </cell>
        </row>
        <row r="45">
          <cell r="B45" t="str">
            <v>DELQ_RATIO_PREV_3RD_AMT</v>
          </cell>
          <cell r="D45">
            <v>0</v>
          </cell>
          <cell r="F45" t="str">
            <v>N</v>
          </cell>
        </row>
        <row r="46">
          <cell r="B46" t="str">
            <v>DELQ_RATIO_PREV_2ND_AMT</v>
          </cell>
          <cell r="D46">
            <v>0</v>
          </cell>
          <cell r="E46" t="str">
            <v xml:space="preserve">  </v>
          </cell>
          <cell r="F46" t="str">
            <v>N</v>
          </cell>
        </row>
        <row r="47">
          <cell r="B47" t="str">
            <v>DELQ_RATIO_PREV_AMT</v>
          </cell>
          <cell r="D47">
            <v>0</v>
          </cell>
          <cell r="F47" t="str">
            <v>N</v>
          </cell>
        </row>
        <row r="48">
          <cell r="B48" t="str">
            <v>NET_LOSS_RATIO_PREV_3RD</v>
          </cell>
          <cell r="D48">
            <v>0</v>
          </cell>
          <cell r="F48" t="str">
            <v>N</v>
          </cell>
        </row>
        <row r="49">
          <cell r="B49" t="str">
            <v>DELQ_TRIGGER</v>
          </cell>
          <cell r="D49">
            <v>4.9000000000000002E-2</v>
          </cell>
          <cell r="F49" t="str">
            <v>N</v>
          </cell>
        </row>
        <row r="50">
          <cell r="B50" t="str">
            <v>YSREQUIREDRATE</v>
          </cell>
          <cell r="D50">
            <v>4.9500000000000002E-2</v>
          </cell>
          <cell r="F50" t="str">
            <v>N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>
            <v>1346239494.45</v>
          </cell>
          <cell r="C4">
            <v>74870</v>
          </cell>
        </row>
        <row r="5">
          <cell r="B5">
            <v>1296621187.2</v>
          </cell>
          <cell r="C5">
            <v>73957</v>
          </cell>
        </row>
        <row r="6">
          <cell r="B6">
            <v>132003549.76000001</v>
          </cell>
        </row>
        <row r="7">
          <cell r="B7">
            <v>124791068.59999999</v>
          </cell>
        </row>
        <row r="8">
          <cell r="B8">
            <v>1214235944.6900001</v>
          </cell>
        </row>
        <row r="9">
          <cell r="B9">
            <v>1171830118.6000001</v>
          </cell>
        </row>
        <row r="15">
          <cell r="B15">
            <v>162</v>
          </cell>
          <cell r="C15">
            <v>3090916.73</v>
          </cell>
          <cell r="D15">
            <v>2.3838240193149295E-3</v>
          </cell>
        </row>
        <row r="16">
          <cell r="B16">
            <v>27</v>
          </cell>
          <cell r="C16">
            <v>500872.59</v>
          </cell>
          <cell r="D16">
            <v>3.8629061050715494E-4</v>
          </cell>
        </row>
        <row r="17">
          <cell r="B17">
            <v>10</v>
          </cell>
          <cell r="C17">
            <v>193033.69</v>
          </cell>
          <cell r="D17">
            <v>1.4887439130687683E-4</v>
          </cell>
        </row>
        <row r="18">
          <cell r="B18">
            <v>0</v>
          </cell>
          <cell r="C18">
            <v>0</v>
          </cell>
          <cell r="D18">
            <v>0</v>
          </cell>
        </row>
        <row r="19">
          <cell r="B19">
            <v>14</v>
          </cell>
          <cell r="C19">
            <v>262797.7</v>
          </cell>
        </row>
        <row r="20">
          <cell r="C20">
            <v>458037.81</v>
          </cell>
        </row>
        <row r="22">
          <cell r="B22">
            <v>0</v>
          </cell>
          <cell r="C22">
            <v>0</v>
          </cell>
        </row>
        <row r="23">
          <cell r="B23">
            <v>1.32022E-5</v>
          </cell>
          <cell r="C23">
            <v>2.2087300000000001E-5</v>
          </cell>
        </row>
        <row r="24">
          <cell r="B24">
            <v>2.804862E-4</v>
          </cell>
          <cell r="C24">
            <v>2.985617E-4</v>
          </cell>
        </row>
        <row r="27">
          <cell r="C27">
            <v>736474.15</v>
          </cell>
        </row>
        <row r="32">
          <cell r="B32">
            <v>192</v>
          </cell>
          <cell r="C32">
            <v>4447040.09</v>
          </cell>
        </row>
      </sheetData>
      <sheetData sheetId="12">
        <row r="6">
          <cell r="B6">
            <v>3977880.62</v>
          </cell>
        </row>
        <row r="14">
          <cell r="B14">
            <v>49355509.549999997</v>
          </cell>
        </row>
        <row r="16">
          <cell r="B16">
            <v>33918</v>
          </cell>
        </row>
        <row r="28">
          <cell r="B28">
            <v>0</v>
          </cell>
        </row>
        <row r="29">
          <cell r="B29">
            <v>0</v>
          </cell>
        </row>
        <row r="31">
          <cell r="B31">
            <v>3.6689271400000001E-2</v>
          </cell>
        </row>
        <row r="32">
          <cell r="B32">
            <v>44.075986</v>
          </cell>
        </row>
        <row r="34">
          <cell r="B34">
            <v>0</v>
          </cell>
        </row>
        <row r="35">
          <cell r="B35">
            <v>8.8938310000000003E-4</v>
          </cell>
        </row>
        <row r="36">
          <cell r="B36">
            <v>1.0460573000000001E-3</v>
          </cell>
        </row>
      </sheetData>
      <sheetData sheetId="13">
        <row r="4">
          <cell r="B4">
            <v>3255208.34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3255208.34</v>
          </cell>
        </row>
        <row r="8">
          <cell r="B8">
            <v>3255208.34</v>
          </cell>
        </row>
      </sheetData>
      <sheetData sheetId="14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53367308.169999994</v>
          </cell>
          <cell r="D7">
            <v>3255208.34</v>
          </cell>
        </row>
        <row r="9">
          <cell r="B9">
            <v>0</v>
          </cell>
          <cell r="C9">
            <v>0</v>
          </cell>
        </row>
        <row r="10">
          <cell r="B10">
            <v>1121866.2453750002</v>
          </cell>
          <cell r="C10">
            <v>1121866.2453750002</v>
          </cell>
          <cell r="E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1340486.45</v>
          </cell>
        </row>
        <row r="14">
          <cell r="C14">
            <v>1088354.17</v>
          </cell>
        </row>
        <row r="15">
          <cell r="C15">
            <v>1150851.18</v>
          </cell>
        </row>
        <row r="16">
          <cell r="C16">
            <v>1858066.67</v>
          </cell>
        </row>
        <row r="17">
          <cell r="C17">
            <v>412233.33</v>
          </cell>
        </row>
        <row r="18">
          <cell r="C18">
            <v>42405826.089999676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</sheetData>
      <sheetData sheetId="16">
        <row r="1">
          <cell r="S1">
            <v>1</v>
          </cell>
        </row>
        <row r="4">
          <cell r="B4">
            <v>352000000</v>
          </cell>
          <cell r="C4">
            <v>264152610.33000001</v>
          </cell>
          <cell r="F4">
            <v>5.7090000000000002E-2</v>
          </cell>
          <cell r="H4">
            <v>1340486.45</v>
          </cell>
          <cell r="I4">
            <v>0</v>
          </cell>
          <cell r="J4">
            <v>0</v>
          </cell>
          <cell r="K4">
            <v>1340486.45</v>
          </cell>
          <cell r="L4">
            <v>0</v>
          </cell>
          <cell r="M4">
            <v>0</v>
          </cell>
          <cell r="N4">
            <v>42405826.089999676</v>
          </cell>
          <cell r="O4">
            <v>0</v>
          </cell>
          <cell r="P4">
            <v>221746784.24000034</v>
          </cell>
        </row>
        <row r="5">
          <cell r="B5">
            <v>219500000</v>
          </cell>
          <cell r="C5">
            <v>219500000</v>
          </cell>
          <cell r="F5">
            <v>5.9499999999999997E-2</v>
          </cell>
          <cell r="H5">
            <v>1088354.17</v>
          </cell>
          <cell r="I5">
            <v>0</v>
          </cell>
          <cell r="J5">
            <v>0</v>
          </cell>
          <cell r="K5">
            <v>1088354.17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219500000</v>
          </cell>
        </row>
        <row r="6">
          <cell r="B6">
            <v>219500000</v>
          </cell>
          <cell r="C6">
            <v>219500000</v>
          </cell>
          <cell r="F6">
            <v>5.8984399999999999E-2</v>
          </cell>
          <cell r="H6">
            <v>1150851.18</v>
          </cell>
          <cell r="I6">
            <v>0</v>
          </cell>
          <cell r="J6">
            <v>0</v>
          </cell>
          <cell r="K6">
            <v>1150851.18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219500000</v>
          </cell>
        </row>
        <row r="7">
          <cell r="B7">
            <v>376000000</v>
          </cell>
          <cell r="C7">
            <v>376000000</v>
          </cell>
          <cell r="F7">
            <v>5.9299999999999999E-2</v>
          </cell>
          <cell r="H7">
            <v>1858066.67</v>
          </cell>
          <cell r="I7">
            <v>0</v>
          </cell>
          <cell r="J7">
            <v>0</v>
          </cell>
          <cell r="K7">
            <v>1858066.67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376000000</v>
          </cell>
        </row>
        <row r="8">
          <cell r="B8">
            <v>83000000</v>
          </cell>
          <cell r="C8">
            <v>83000000</v>
          </cell>
          <cell r="F8">
            <v>5.96E-2</v>
          </cell>
          <cell r="H8">
            <v>412233.33</v>
          </cell>
          <cell r="I8">
            <v>0</v>
          </cell>
          <cell r="K8">
            <v>412233.33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83000000</v>
          </cell>
        </row>
        <row r="9">
          <cell r="B9">
            <v>52083334.359999999</v>
          </cell>
          <cell r="C9">
            <v>52083334.359999999</v>
          </cell>
          <cell r="M9">
            <v>0</v>
          </cell>
          <cell r="N9">
            <v>0</v>
          </cell>
          <cell r="O9">
            <v>0</v>
          </cell>
          <cell r="P9">
            <v>52083334.359999999</v>
          </cell>
        </row>
        <row r="15">
          <cell r="C15">
            <v>45224</v>
          </cell>
        </row>
        <row r="16">
          <cell r="C16">
            <v>45245</v>
          </cell>
        </row>
        <row r="17">
          <cell r="C17">
            <v>45275</v>
          </cell>
        </row>
        <row r="18">
          <cell r="C18">
            <v>45307</v>
          </cell>
        </row>
        <row r="19">
          <cell r="C19">
            <v>45260</v>
          </cell>
        </row>
        <row r="20">
          <cell r="C20">
            <v>45291</v>
          </cell>
        </row>
        <row r="23">
          <cell r="C23">
            <v>45611</v>
          </cell>
        </row>
        <row r="24">
          <cell r="C24">
            <v>46157</v>
          </cell>
        </row>
        <row r="26">
          <cell r="C26">
            <v>46888</v>
          </cell>
        </row>
        <row r="27">
          <cell r="C27">
            <v>47771</v>
          </cell>
        </row>
        <row r="30">
          <cell r="C30">
            <v>30</v>
          </cell>
        </row>
        <row r="31">
          <cell r="C31">
            <v>32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29E6E-76FD-459A-933D-DF207FEBA0EA}">
  <sheetPr codeName="Sheet8">
    <pageSetUpPr fitToPage="1"/>
  </sheetPr>
  <dimension ref="A1:IV228"/>
  <sheetViews>
    <sheetView tabSelected="1" showRuler="0" zoomScale="80" zoomScaleNormal="80" zoomScaleSheetLayoutView="90" workbookViewId="0">
      <selection activeCell="A37" sqref="A37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159</v>
      </c>
    </row>
    <row r="2" spans="1:13" ht="15.75" customHeight="1" x14ac:dyDescent="0.45">
      <c r="C2" s="5"/>
    </row>
    <row r="3" spans="1:13" ht="15.75" customHeight="1" x14ac:dyDescent="0.45">
      <c r="A3" s="2" t="s">
        <v>0</v>
      </c>
      <c r="B3" s="6">
        <f>[5]Notes!C20</f>
        <v>45291</v>
      </c>
      <c r="C3" s="7" t="s">
        <v>1</v>
      </c>
      <c r="D3" s="2">
        <f>[5]Notes!C30</f>
        <v>30</v>
      </c>
      <c r="E3" s="2" t="s">
        <v>2</v>
      </c>
      <c r="F3" s="8">
        <f>[5]Notes!C19+1</f>
        <v>45261</v>
      </c>
      <c r="G3" s="2"/>
    </row>
    <row r="4" spans="1:13" ht="15.75" customHeight="1" x14ac:dyDescent="0.45">
      <c r="A4" s="2" t="s">
        <v>3</v>
      </c>
      <c r="B4" s="6">
        <f>Curr_DistDate</f>
        <v>45307</v>
      </c>
      <c r="C4" s="7" t="s">
        <v>4</v>
      </c>
      <c r="D4" s="9">
        <f>[5]Notes!C31</f>
        <v>32</v>
      </c>
      <c r="E4" s="2" t="s">
        <v>5</v>
      </c>
      <c r="F4" s="8">
        <f>[5]Notes!C20</f>
        <v>45291</v>
      </c>
      <c r="G4" s="2"/>
    </row>
    <row r="5" spans="1:13" ht="17.25" customHeight="1" x14ac:dyDescent="0.45">
      <c r="C5" s="5"/>
      <c r="E5" s="2" t="s">
        <v>6</v>
      </c>
      <c r="F5" s="8">
        <f>IF(Curr_DistDate&lt;&gt;First_DistDate,Prev_DistDate,[5]Notes!C15)</f>
        <v>45275</v>
      </c>
      <c r="G5" s="2"/>
    </row>
    <row r="6" spans="1:13" ht="15.75" customHeight="1" x14ac:dyDescent="0.45">
      <c r="C6" s="5"/>
      <c r="E6" s="2" t="s">
        <v>7</v>
      </c>
      <c r="F6" s="8">
        <f>Curr_DistDate</f>
        <v>45307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8</v>
      </c>
      <c r="C9" s="14" t="s">
        <v>9</v>
      </c>
      <c r="D9" s="14" t="s">
        <v>10</v>
      </c>
      <c r="E9" s="14" t="s">
        <v>11</v>
      </c>
      <c r="F9" s="15" t="s">
        <v>12</v>
      </c>
    </row>
    <row r="10" spans="1:13" x14ac:dyDescent="0.35">
      <c r="A10" s="2" t="s">
        <v>13</v>
      </c>
      <c r="B10" s="16"/>
      <c r="C10" s="17">
        <f>VLOOKUP("0702_COLLATERAL_BALANCE",'[5]Initial Data'!B:F,3,FALSE)</f>
        <v>1449675307.3599999</v>
      </c>
      <c r="D10" s="18">
        <f>Coll_BegBal</f>
        <v>1346239494.45</v>
      </c>
      <c r="E10" s="19">
        <f>Coll_EndBal</f>
        <v>1296621187.2</v>
      </c>
      <c r="F10" s="20">
        <f>IF(C12&lt;=0,0,E10/C12)</f>
        <v>0.99580507098442772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14</v>
      </c>
      <c r="B11" s="16"/>
      <c r="C11" s="23">
        <f>VLOOKUP("OVERCOLLATERAL_BALANCE",'[5]Initial Data'!B:F,3,FALSE)</f>
        <v>147591973</v>
      </c>
      <c r="D11" s="18">
        <f>OC_BegBal</f>
        <v>132003549.76000001</v>
      </c>
      <c r="E11" s="19">
        <f>OC_EndBal</f>
        <v>124791068.59999999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15</v>
      </c>
      <c r="B12" s="16"/>
      <c r="C12" s="24">
        <f>C10-C11</f>
        <v>1302083334.3599999</v>
      </c>
      <c r="D12" s="18">
        <f>Adj_BegBal</f>
        <v>1214235944.6900001</v>
      </c>
      <c r="E12" s="19">
        <f>Adj_EndBal</f>
        <v>1171830118.6000001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16</v>
      </c>
      <c r="B13" s="10"/>
      <c r="C13" s="24">
        <f>SUM(C14:C19)</f>
        <v>1302083334.3599999</v>
      </c>
      <c r="D13" s="18">
        <f>SUM(D14:D19)</f>
        <v>1214235944.6899998</v>
      </c>
      <c r="E13" s="19">
        <f>SUM(E14:E19)</f>
        <v>1171830118.6000001</v>
      </c>
      <c r="F13" s="20">
        <f>IF(C13&lt;=0,0,E13/C13)</f>
        <v>0.89996553037519533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17</v>
      </c>
      <c r="B14" s="27">
        <f>[5]Notes!$F$4</f>
        <v>5.7090000000000002E-2</v>
      </c>
      <c r="C14" s="23">
        <f>[5]Notes!$B$4</f>
        <v>352000000</v>
      </c>
      <c r="D14" s="18">
        <f>[5]Notes!C4</f>
        <v>264152610.33000001</v>
      </c>
      <c r="E14" s="19">
        <f>[5]Notes!P4</f>
        <v>221746784.24000034</v>
      </c>
      <c r="F14" s="20">
        <f t="shared" ref="F14:F19" si="0">IF(C14&lt;=0,0,E14/C14)</f>
        <v>0.62996245522727368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18</v>
      </c>
      <c r="B15" s="27">
        <f>[5]Notes!$F$5</f>
        <v>5.9499999999999997E-2</v>
      </c>
      <c r="C15" s="23">
        <f>[5]Notes!$B$5</f>
        <v>219500000</v>
      </c>
      <c r="D15" s="18">
        <f>[5]Notes!C5</f>
        <v>219500000</v>
      </c>
      <c r="E15" s="19">
        <f>[5]Notes!P5</f>
        <v>219500000</v>
      </c>
      <c r="F15" s="20">
        <f t="shared" si="0"/>
        <v>1</v>
      </c>
      <c r="G15" s="21"/>
      <c r="I15" s="22"/>
      <c r="J15" s="22"/>
      <c r="K15" s="22"/>
      <c r="L15" s="22"/>
      <c r="M15" s="22"/>
    </row>
    <row r="16" spans="1:13" x14ac:dyDescent="0.35">
      <c r="A16" s="26" t="s">
        <v>19</v>
      </c>
      <c r="B16" s="27">
        <f>[5]Notes!$F$6</f>
        <v>5.8984399999999999E-2</v>
      </c>
      <c r="C16" s="23">
        <f>[5]Notes!$B$6</f>
        <v>219500000</v>
      </c>
      <c r="D16" s="18">
        <f>[5]Notes!C6</f>
        <v>219500000</v>
      </c>
      <c r="E16" s="19">
        <f>[5]Notes!P6</f>
        <v>219500000</v>
      </c>
      <c r="F16" s="20">
        <f>IF(C16&lt;=0,0,E16/C16)</f>
        <v>1</v>
      </c>
      <c r="G16" s="21"/>
      <c r="I16" s="22"/>
      <c r="J16" s="22"/>
      <c r="K16" s="22"/>
      <c r="L16" s="22"/>
      <c r="M16" s="22"/>
    </row>
    <row r="17" spans="1:13" x14ac:dyDescent="0.35">
      <c r="A17" s="26" t="s">
        <v>20</v>
      </c>
      <c r="B17" s="27">
        <f>[5]Notes!$F$7</f>
        <v>5.9299999999999999E-2</v>
      </c>
      <c r="C17" s="23">
        <f>[5]Notes!$B$7</f>
        <v>376000000</v>
      </c>
      <c r="D17" s="18">
        <f>[5]Notes!C7</f>
        <v>376000000</v>
      </c>
      <c r="E17" s="19">
        <f>[5]Notes!P7</f>
        <v>376000000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21</v>
      </c>
      <c r="B18" s="27">
        <f>[5]Notes!$F$8</f>
        <v>5.96E-2</v>
      </c>
      <c r="C18" s="23">
        <f>[5]Notes!$B$8</f>
        <v>83000000</v>
      </c>
      <c r="D18" s="18">
        <f>[5]Notes!C8</f>
        <v>83000000</v>
      </c>
      <c r="E18" s="19">
        <f>[5]Notes!P8</f>
        <v>83000000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22</v>
      </c>
      <c r="B19" s="27">
        <f>IF(OR(Curr_DistDate&gt;=A2_FinalDist,Events_of_Default="Yes",Rescission="Yes"),A2a_BegBal,IF(AND(A2a_BegBal&lt;&gt;0,A1_EndBal=0),MIN(A2a_BegBal,MAX(0,(Adj_BegBal-Adj_EndBal-C18)*'Dec23'!C15/SUM('Dec23'!C15:C16))),0))</f>
        <v>0</v>
      </c>
      <c r="C19" s="17">
        <f>[5]Notes!$B$9</f>
        <v>52083334.359999999</v>
      </c>
      <c r="D19" s="18">
        <f>[5]Notes!C9</f>
        <v>52083334.359999999</v>
      </c>
      <c r="E19" s="19">
        <f>[5]Notes!P9</f>
        <v>52083334.359999999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23</v>
      </c>
      <c r="C22" s="32" t="s">
        <v>24</v>
      </c>
      <c r="D22" s="33" t="s">
        <v>25</v>
      </c>
      <c r="E22" s="33" t="s">
        <v>26</v>
      </c>
      <c r="F22" s="31"/>
    </row>
    <row r="23" spans="1:13" x14ac:dyDescent="0.35">
      <c r="A23" s="26" t="s">
        <v>17</v>
      </c>
      <c r="B23" s="18">
        <f>[5]Notes!N4</f>
        <v>42405826.089999676</v>
      </c>
      <c r="C23" s="18">
        <f>[5]Notes!K4</f>
        <v>1340486.45</v>
      </c>
      <c r="D23" s="34">
        <f>IF(C14&lt;=0,0,B23/(C14/1000))</f>
        <v>120.47109684658999</v>
      </c>
      <c r="E23" s="35">
        <f>IF(C14&lt;=0,0,C23/(C14/1000))</f>
        <v>3.8082001420454543</v>
      </c>
      <c r="F23" s="31"/>
    </row>
    <row r="24" spans="1:13" x14ac:dyDescent="0.35">
      <c r="A24" s="26" t="s">
        <v>18</v>
      </c>
      <c r="B24" s="18">
        <f>[5]Notes!N5</f>
        <v>0</v>
      </c>
      <c r="C24" s="18">
        <f>[5]Notes!K5</f>
        <v>1088354.17</v>
      </c>
      <c r="D24" s="34">
        <f t="shared" ref="D24:D28" si="1">IF(C15&lt;=0,0,B24/(C15/1000))</f>
        <v>0</v>
      </c>
      <c r="E24" s="35">
        <f t="shared" ref="E24:E28" si="2">IF(C15&lt;=0,0,C24/(C15/1000))</f>
        <v>4.9583333485193615</v>
      </c>
      <c r="F24" s="31"/>
    </row>
    <row r="25" spans="1:13" x14ac:dyDescent="0.35">
      <c r="A25" s="26" t="s">
        <v>19</v>
      </c>
      <c r="B25" s="18">
        <f>[5]Notes!N6</f>
        <v>0</v>
      </c>
      <c r="C25" s="18">
        <f>[5]Notes!K6</f>
        <v>1150851.18</v>
      </c>
      <c r="D25" s="34">
        <f t="shared" si="1"/>
        <v>0</v>
      </c>
      <c r="E25" s="35">
        <f>IF(C16&lt;=0,0,C25/(C16/1000))</f>
        <v>5.2430577676537586</v>
      </c>
      <c r="F25" s="31"/>
    </row>
    <row r="26" spans="1:13" x14ac:dyDescent="0.35">
      <c r="A26" s="26" t="s">
        <v>20</v>
      </c>
      <c r="B26" s="18">
        <f>[5]Notes!N7</f>
        <v>0</v>
      </c>
      <c r="C26" s="18">
        <f>[5]Notes!K7</f>
        <v>1858066.67</v>
      </c>
      <c r="D26" s="34">
        <f t="shared" si="1"/>
        <v>0</v>
      </c>
      <c r="E26" s="35">
        <f t="shared" si="2"/>
        <v>4.9416666755319145</v>
      </c>
      <c r="F26" s="31"/>
    </row>
    <row r="27" spans="1:13" x14ac:dyDescent="0.35">
      <c r="A27" s="26" t="s">
        <v>21</v>
      </c>
      <c r="B27" s="18">
        <f>[5]Notes!N8</f>
        <v>0</v>
      </c>
      <c r="C27" s="18">
        <f>[5]Notes!K8</f>
        <v>412233.33</v>
      </c>
      <c r="D27" s="34">
        <f t="shared" si="1"/>
        <v>0</v>
      </c>
      <c r="E27" s="35">
        <f t="shared" si="2"/>
        <v>4.966666626506024</v>
      </c>
      <c r="F27" s="31"/>
    </row>
    <row r="28" spans="1:13" x14ac:dyDescent="0.35">
      <c r="A28" s="26" t="s">
        <v>22</v>
      </c>
      <c r="B28" s="18">
        <f>[5]Notes!N9</f>
        <v>0</v>
      </c>
      <c r="C28" s="18">
        <f>[5]Notes!K9</f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27</v>
      </c>
      <c r="B29" s="36">
        <f>SUM(B23:B28)</f>
        <v>42405826.089999676</v>
      </c>
      <c r="C29" s="36">
        <f>SUM(C23:C28)</f>
        <v>5849991.7999999998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28</v>
      </c>
      <c r="E32" s="40"/>
    </row>
    <row r="33" spans="1:7" x14ac:dyDescent="0.35">
      <c r="E33" s="40"/>
    </row>
    <row r="34" spans="1:7" x14ac:dyDescent="0.35">
      <c r="A34" s="26" t="s">
        <v>29</v>
      </c>
    </row>
    <row r="35" spans="1:7" x14ac:dyDescent="0.35">
      <c r="A35" s="41" t="s">
        <v>30</v>
      </c>
      <c r="E35" s="42">
        <f>[5]Sources!B6</f>
        <v>3977880.62</v>
      </c>
      <c r="F35" s="43"/>
      <c r="G35" s="44"/>
    </row>
    <row r="36" spans="1:7" x14ac:dyDescent="0.35">
      <c r="A36" s="41" t="s">
        <v>31</v>
      </c>
      <c r="E36" s="45">
        <f>[5]Sources!B28</f>
        <v>0</v>
      </c>
      <c r="F36" s="43"/>
      <c r="G36" s="44"/>
    </row>
    <row r="37" spans="1:7" x14ac:dyDescent="0.35">
      <c r="A37" s="26" t="s">
        <v>32</v>
      </c>
      <c r="E37" s="42">
        <f>SUM(E35:E36)</f>
        <v>3977880.62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33</v>
      </c>
      <c r="E39" s="46"/>
      <c r="F39" s="43"/>
      <c r="G39" s="44"/>
    </row>
    <row r="40" spans="1:7" x14ac:dyDescent="0.35">
      <c r="A40" s="41" t="s">
        <v>34</v>
      </c>
      <c r="E40" s="42">
        <f>[5]Sources!B14</f>
        <v>49355509.549999997</v>
      </c>
      <c r="F40" s="43"/>
      <c r="G40" s="44"/>
    </row>
    <row r="41" spans="1:7" x14ac:dyDescent="0.35">
      <c r="A41" s="41" t="s">
        <v>35</v>
      </c>
      <c r="E41" s="45">
        <f>[5]Sources!B29</f>
        <v>0</v>
      </c>
      <c r="F41" s="43"/>
      <c r="G41" s="44"/>
    </row>
    <row r="42" spans="1:7" x14ac:dyDescent="0.35">
      <c r="A42" s="26" t="s">
        <v>36</v>
      </c>
      <c r="E42" s="42">
        <f>SUM(E40:E41)</f>
        <v>49355509.549999997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37</v>
      </c>
      <c r="E44" s="42">
        <f>[5]Sources!B16</f>
        <v>33918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38</v>
      </c>
      <c r="E47" s="49">
        <f>E37+E42+E44</f>
        <v>53367308.169999994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39</v>
      </c>
      <c r="D49" s="51"/>
      <c r="E49" s="52"/>
      <c r="F49" s="43"/>
      <c r="G49" s="44"/>
    </row>
    <row r="50" spans="1:7" x14ac:dyDescent="0.35">
      <c r="D50" s="53" t="s">
        <v>40</v>
      </c>
      <c r="E50" s="53" t="s">
        <v>41</v>
      </c>
      <c r="F50" s="43"/>
      <c r="G50" s="44"/>
    </row>
    <row r="51" spans="1:7" x14ac:dyDescent="0.35">
      <c r="A51" s="26" t="s">
        <v>42</v>
      </c>
      <c r="D51" s="54">
        <f>[5]Collateral!C4</f>
        <v>74870</v>
      </c>
      <c r="E51" s="48">
        <f>Adj_BegBal</f>
        <v>1214235944.6900001</v>
      </c>
      <c r="F51" s="43"/>
      <c r="G51" s="44"/>
    </row>
    <row r="52" spans="1:7" x14ac:dyDescent="0.35">
      <c r="A52" s="26" t="s">
        <v>43</v>
      </c>
      <c r="D52" s="10"/>
      <c r="E52" s="45">
        <f>D12-E12</f>
        <v>42405826.089999914</v>
      </c>
      <c r="F52" s="43"/>
      <c r="G52" s="44"/>
    </row>
    <row r="53" spans="1:7" x14ac:dyDescent="0.35">
      <c r="A53" s="26"/>
      <c r="D53" s="55">
        <f>IF([5]Notes!S1=1,[5]Collateral!C5,0)</f>
        <v>73957</v>
      </c>
      <c r="E53" s="56">
        <f>E51-E52</f>
        <v>1171830118.6000001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44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38</v>
      </c>
      <c r="E57" s="57">
        <f>E47</f>
        <v>53367308.169999994</v>
      </c>
      <c r="F57" s="43"/>
      <c r="G57" s="44"/>
    </row>
    <row r="58" spans="1:7" x14ac:dyDescent="0.35">
      <c r="A58" s="26" t="s">
        <v>45</v>
      </c>
      <c r="E58" s="57">
        <f>'[5]Credit Support'!B6</f>
        <v>0</v>
      </c>
      <c r="F58" s="43"/>
      <c r="G58" s="44"/>
    </row>
    <row r="59" spans="1:7" x14ac:dyDescent="0.35">
      <c r="A59" s="26" t="s">
        <v>46</v>
      </c>
      <c r="E59" s="12">
        <f>SUM(E57:E58)</f>
        <v>53367308.169999994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47</v>
      </c>
      <c r="E61" s="25">
        <f>[5]Waterfall!B9</f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48</v>
      </c>
      <c r="F63" s="43"/>
      <c r="G63" s="44"/>
    </row>
    <row r="64" spans="1:7" x14ac:dyDescent="0.35">
      <c r="A64" s="41" t="s">
        <v>49</v>
      </c>
      <c r="E64" s="57">
        <f>ROUND([5]Waterfall!B10,2)</f>
        <v>1121866.25</v>
      </c>
      <c r="F64" s="43"/>
      <c r="G64" s="44"/>
    </row>
    <row r="65" spans="1:7" x14ac:dyDescent="0.35">
      <c r="A65" s="41" t="s">
        <v>50</v>
      </c>
      <c r="E65" s="57">
        <f>ROUND([5]Waterfall!C10,2)</f>
        <v>1121866.25</v>
      </c>
      <c r="F65" s="43"/>
      <c r="G65" s="44"/>
    </row>
    <row r="66" spans="1:7" x14ac:dyDescent="0.35">
      <c r="A66" s="41" t="s">
        <v>51</v>
      </c>
      <c r="E66" s="12">
        <f>[5]Waterfall!E10</f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52</v>
      </c>
      <c r="F68" s="43"/>
      <c r="G68" s="44"/>
    </row>
    <row r="69" spans="1:7" x14ac:dyDescent="0.35">
      <c r="A69" s="41" t="s">
        <v>53</v>
      </c>
      <c r="F69" s="43"/>
      <c r="G69" s="44"/>
    </row>
    <row r="70" spans="1:7" x14ac:dyDescent="0.35">
      <c r="A70" s="58" t="s">
        <v>54</v>
      </c>
      <c r="E70" s="57">
        <f>[5]Notes!I4</f>
        <v>0</v>
      </c>
      <c r="F70" s="43"/>
      <c r="G70" s="44"/>
    </row>
    <row r="71" spans="1:7" x14ac:dyDescent="0.35">
      <c r="A71" s="58" t="s">
        <v>55</v>
      </c>
      <c r="E71" s="57">
        <f>[5]Notes!J4</f>
        <v>0</v>
      </c>
      <c r="F71" s="43"/>
      <c r="G71" s="44"/>
    </row>
    <row r="72" spans="1:7" x14ac:dyDescent="0.35">
      <c r="A72" s="58" t="s">
        <v>56</v>
      </c>
      <c r="E72" s="57">
        <f>[5]Notes!H4</f>
        <v>1340486.45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57</v>
      </c>
      <c r="E74" s="57">
        <f>[5]Notes!K4</f>
        <v>1340486.45</v>
      </c>
      <c r="F74" s="43"/>
      <c r="G74" s="44"/>
    </row>
    <row r="75" spans="1:7" x14ac:dyDescent="0.35">
      <c r="A75" s="58" t="s">
        <v>58</v>
      </c>
      <c r="E75" s="57">
        <f>[5]Notes!L4-[5]Notes!I4</f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59</v>
      </c>
      <c r="F77" s="43"/>
      <c r="G77" s="44"/>
    </row>
    <row r="78" spans="1:7" x14ac:dyDescent="0.35">
      <c r="A78" s="58" t="s">
        <v>60</v>
      </c>
      <c r="E78" s="57">
        <f>[5]Notes!I5</f>
        <v>0</v>
      </c>
      <c r="F78" s="43"/>
      <c r="G78" s="44"/>
    </row>
    <row r="79" spans="1:7" x14ac:dyDescent="0.35">
      <c r="A79" s="58" t="s">
        <v>61</v>
      </c>
      <c r="E79" s="57">
        <f>[5]Notes!J5</f>
        <v>0</v>
      </c>
      <c r="F79" s="43"/>
      <c r="G79" s="44"/>
    </row>
    <row r="80" spans="1:7" x14ac:dyDescent="0.35">
      <c r="A80" s="58" t="s">
        <v>62</v>
      </c>
      <c r="E80" s="57">
        <f>[5]Notes!H5</f>
        <v>1088354.17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63</v>
      </c>
      <c r="E82" s="57">
        <f>[5]Notes!K5</f>
        <v>1088354.17</v>
      </c>
      <c r="F82" s="43"/>
      <c r="G82" s="44"/>
    </row>
    <row r="83" spans="1:7" x14ac:dyDescent="0.35">
      <c r="A83" s="58" t="s">
        <v>64</v>
      </c>
      <c r="E83" s="57">
        <f>[5]Notes!L5-[5]Notes!I5</f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65</v>
      </c>
      <c r="F85" s="43"/>
      <c r="G85" s="44"/>
    </row>
    <row r="86" spans="1:7" x14ac:dyDescent="0.35">
      <c r="A86" s="58" t="s">
        <v>66</v>
      </c>
      <c r="E86" s="57">
        <f>[5]Notes!I6</f>
        <v>0</v>
      </c>
      <c r="F86" s="43"/>
      <c r="G86" s="44"/>
    </row>
    <row r="87" spans="1:7" x14ac:dyDescent="0.35">
      <c r="A87" s="58" t="s">
        <v>67</v>
      </c>
      <c r="E87" s="57">
        <f>[5]Notes!J6</f>
        <v>0</v>
      </c>
      <c r="F87" s="43"/>
      <c r="G87" s="44"/>
    </row>
    <row r="88" spans="1:7" x14ac:dyDescent="0.35">
      <c r="A88" s="58" t="s">
        <v>68</v>
      </c>
      <c r="E88" s="57">
        <f>[5]Notes!H6</f>
        <v>1150851.18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69</v>
      </c>
      <c r="E90" s="57">
        <f>[5]Notes!K6</f>
        <v>1150851.18</v>
      </c>
      <c r="F90" s="43"/>
      <c r="G90" s="44"/>
    </row>
    <row r="91" spans="1:7" x14ac:dyDescent="0.35">
      <c r="A91" s="58" t="s">
        <v>70</v>
      </c>
      <c r="E91" s="57">
        <f>[5]Notes!L6-[5]Notes!I6</f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71</v>
      </c>
      <c r="F93" s="43"/>
      <c r="G93" s="44"/>
    </row>
    <row r="94" spans="1:7" x14ac:dyDescent="0.35">
      <c r="A94" s="58" t="s">
        <v>72</v>
      </c>
      <c r="E94" s="57">
        <f>[5]Notes!I7</f>
        <v>0</v>
      </c>
      <c r="F94" s="43"/>
      <c r="G94" s="44"/>
    </row>
    <row r="95" spans="1:7" x14ac:dyDescent="0.35">
      <c r="A95" s="58" t="s">
        <v>73</v>
      </c>
      <c r="E95" s="57">
        <f>[5]Notes!J7</f>
        <v>0</v>
      </c>
      <c r="F95" s="43"/>
      <c r="G95" s="44"/>
    </row>
    <row r="96" spans="1:7" x14ac:dyDescent="0.35">
      <c r="A96" s="58" t="s">
        <v>74</v>
      </c>
      <c r="E96" s="57">
        <f>[5]Notes!H7</f>
        <v>1858066.67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75</v>
      </c>
      <c r="E98" s="57">
        <f>[5]Notes!K7</f>
        <v>1858066.67</v>
      </c>
      <c r="F98" s="43"/>
      <c r="G98" s="44"/>
    </row>
    <row r="99" spans="1:7" x14ac:dyDescent="0.35">
      <c r="A99" s="58" t="s">
        <v>76</v>
      </c>
      <c r="E99" s="57">
        <f>[5]Notes!L7-[5]Notes!I7</f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77</v>
      </c>
      <c r="F101" s="43"/>
      <c r="G101" s="44"/>
    </row>
    <row r="102" spans="1:7" x14ac:dyDescent="0.35">
      <c r="A102" s="58" t="s">
        <v>78</v>
      </c>
      <c r="E102" s="57">
        <f>[5]Notes!I8</f>
        <v>0</v>
      </c>
      <c r="F102" s="43"/>
      <c r="G102" s="44"/>
    </row>
    <row r="103" spans="1:7" x14ac:dyDescent="0.35">
      <c r="A103" s="58" t="s">
        <v>79</v>
      </c>
      <c r="E103" s="57">
        <f>[5]Notes!J8</f>
        <v>0</v>
      </c>
      <c r="F103" s="43"/>
      <c r="G103" s="44"/>
    </row>
    <row r="104" spans="1:7" x14ac:dyDescent="0.35">
      <c r="A104" s="58" t="s">
        <v>80</v>
      </c>
      <c r="E104" s="57">
        <f>[5]Notes!H8</f>
        <v>412233.33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81</v>
      </c>
      <c r="E106" s="57">
        <f>[5]Notes!K8</f>
        <v>412233.33</v>
      </c>
      <c r="F106" s="43"/>
      <c r="G106" s="44"/>
    </row>
    <row r="107" spans="1:7" x14ac:dyDescent="0.35">
      <c r="A107" s="58" t="s">
        <v>82</v>
      </c>
      <c r="E107" s="57">
        <f>[5]Notes!L8-[5]Notes!I8</f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83</v>
      </c>
      <c r="F109" s="43"/>
      <c r="G109" s="44"/>
    </row>
    <row r="110" spans="1:7" x14ac:dyDescent="0.35">
      <c r="A110" s="58" t="s">
        <v>84</v>
      </c>
      <c r="E110" s="12">
        <f>E72+E80+E88+E96+E104</f>
        <v>5849991.7999999998</v>
      </c>
      <c r="F110" s="43"/>
      <c r="G110" s="44"/>
    </row>
    <row r="111" spans="1:7" x14ac:dyDescent="0.35">
      <c r="A111" s="58" t="s">
        <v>85</v>
      </c>
      <c r="E111" s="12">
        <f>E74+E82+E90+E98+E106</f>
        <v>5849991.7999999998</v>
      </c>
      <c r="F111" s="43"/>
      <c r="G111" s="44"/>
    </row>
    <row r="112" spans="1:7" x14ac:dyDescent="0.35">
      <c r="A112" s="58" t="s">
        <v>86</v>
      </c>
      <c r="E112" s="12">
        <f>E70+E78+E94+E102</f>
        <v>0</v>
      </c>
      <c r="F112" s="43"/>
      <c r="G112" s="44"/>
    </row>
    <row r="113" spans="1:7" x14ac:dyDescent="0.35">
      <c r="A113" s="58" t="s">
        <v>87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88</v>
      </c>
      <c r="E115" s="22">
        <f>Avail_Amt-SUM([5]Waterfall!C9:C17)</f>
        <v>46395450.124624997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89</v>
      </c>
      <c r="E117" s="59">
        <f>SUM([5]Notes!N4:N8)</f>
        <v>42405826.089999676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90</v>
      </c>
      <c r="E119" s="57">
        <f>SUM([5]Notes!M4:M8)</f>
        <v>0</v>
      </c>
      <c r="F119" s="43"/>
      <c r="G119" s="44"/>
    </row>
    <row r="120" spans="1:7" x14ac:dyDescent="0.35">
      <c r="A120" s="41" t="s">
        <v>91</v>
      </c>
      <c r="E120" s="60">
        <f>SUM([5]Notes!N4:N8)</f>
        <v>42405826.089999676</v>
      </c>
      <c r="F120" s="43"/>
      <c r="G120" s="44"/>
    </row>
    <row r="121" spans="1:7" x14ac:dyDescent="0.35">
      <c r="A121" s="41" t="s">
        <v>92</v>
      </c>
      <c r="E121" s="12">
        <f>SUM([5]Notes!O4:O8)-SUM([5]Notes!M4:M8)</f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93</v>
      </c>
      <c r="E123" s="12">
        <f>[5]Notes!N9</f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94</v>
      </c>
      <c r="E125" s="57">
        <f>[5]Notes!M9</f>
        <v>0</v>
      </c>
      <c r="F125" s="43"/>
      <c r="G125" s="44"/>
    </row>
    <row r="126" spans="1:7" x14ac:dyDescent="0.35">
      <c r="A126" s="41" t="s">
        <v>95</v>
      </c>
      <c r="E126" s="12">
        <f>[5]Notes!N9</f>
        <v>0</v>
      </c>
      <c r="F126" s="43"/>
      <c r="G126" s="44"/>
    </row>
    <row r="127" spans="1:7" x14ac:dyDescent="0.35">
      <c r="A127" s="41" t="s">
        <v>96</v>
      </c>
      <c r="E127" s="12">
        <f>[5]Notes!O9-[5]Notes!M9</f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97</v>
      </c>
      <c r="E129" s="12">
        <f>Avail_Amt-SUM([5]Waterfall!C9:C25)</f>
        <v>3989624.0346253216</v>
      </c>
      <c r="F129" s="43"/>
      <c r="G129" s="44"/>
    </row>
    <row r="130" spans="1:7" x14ac:dyDescent="0.35">
      <c r="A130" s="41" t="s">
        <v>98</v>
      </c>
      <c r="E130" s="57">
        <f>[5]Waterfall!C23</f>
        <v>0</v>
      </c>
      <c r="F130" s="43"/>
      <c r="G130" s="44"/>
    </row>
    <row r="131" spans="1:7" x14ac:dyDescent="0.35">
      <c r="A131" s="26" t="s">
        <v>99</v>
      </c>
      <c r="E131" s="12">
        <f>E129-E130</f>
        <v>3989624.0346253216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100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101</v>
      </c>
      <c r="E135" s="57">
        <f>'[5]Credit Support'!B12</f>
        <v>0</v>
      </c>
      <c r="F135" s="43"/>
      <c r="G135" s="44"/>
    </row>
    <row r="136" spans="1:7" hidden="1" x14ac:dyDescent="0.35">
      <c r="A136" s="26" t="s">
        <v>102</v>
      </c>
      <c r="E136" s="61">
        <f>'[5]Credit Support'!B13</f>
        <v>0</v>
      </c>
      <c r="F136" s="43"/>
      <c r="G136" s="44"/>
    </row>
    <row r="137" spans="1:7" hidden="1" x14ac:dyDescent="0.35">
      <c r="A137" s="26" t="s">
        <v>103</v>
      </c>
      <c r="E137" s="12">
        <f>'[5]Credit Support'!B14</f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104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105</v>
      </c>
      <c r="E143" s="12">
        <f>'[5]Initial Data'!D15</f>
        <v>3255208.34</v>
      </c>
      <c r="F143" s="43"/>
      <c r="G143" s="44"/>
    </row>
    <row r="144" spans="1:7" x14ac:dyDescent="0.35">
      <c r="A144" s="26" t="s">
        <v>106</v>
      </c>
      <c r="E144" s="12">
        <f>'[5]Credit Support'!B8</f>
        <v>3255208.34</v>
      </c>
      <c r="G144" s="44"/>
    </row>
    <row r="145" spans="1:256" x14ac:dyDescent="0.35">
      <c r="A145" s="26" t="s">
        <v>107</v>
      </c>
      <c r="E145" s="57">
        <f>'[5]Credit Support'!B4</f>
        <v>3255208.34</v>
      </c>
      <c r="F145" s="43"/>
      <c r="G145" s="44"/>
    </row>
    <row r="146" spans="1:256" x14ac:dyDescent="0.35">
      <c r="A146" s="62" t="s">
        <v>108</v>
      </c>
      <c r="B146" s="62"/>
      <c r="C146" s="62"/>
      <c r="D146" s="62"/>
      <c r="E146" s="57">
        <f>'[5]Credit Support'!B5</f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109</v>
      </c>
      <c r="E147" s="12">
        <f>'[5]Credit Support'!B7</f>
        <v>3255208.34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110</v>
      </c>
      <c r="D149" s="63"/>
      <c r="E149" s="22">
        <f>E144</f>
        <v>3255208.34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111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112</v>
      </c>
      <c r="E153" s="64">
        <f>[5]Sources!B31</f>
        <v>3.6689271400000001E-2</v>
      </c>
      <c r="F153" s="43"/>
      <c r="G153" s="44"/>
    </row>
    <row r="154" spans="1:256" x14ac:dyDescent="0.35">
      <c r="A154" s="26" t="s">
        <v>113</v>
      </c>
      <c r="E154" s="60">
        <f>[5]Sources!B32</f>
        <v>44.075986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41</v>
      </c>
      <c r="E156" s="53" t="s">
        <v>40</v>
      </c>
      <c r="F156" s="43"/>
      <c r="G156" s="44"/>
    </row>
    <row r="157" spans="1:256" x14ac:dyDescent="0.35">
      <c r="A157" s="26" t="s">
        <v>114</v>
      </c>
      <c r="D157" s="12">
        <f>[5]Collateral!C19</f>
        <v>262797.7</v>
      </c>
      <c r="E157" s="2">
        <f>+[5]Collateral!B19</f>
        <v>14</v>
      </c>
      <c r="F157" s="65"/>
      <c r="G157" s="44"/>
    </row>
    <row r="158" spans="1:256" x14ac:dyDescent="0.35">
      <c r="A158" s="26" t="s">
        <v>115</v>
      </c>
      <c r="D158" s="61">
        <f>[5]Sources!B16</f>
        <v>33918</v>
      </c>
      <c r="F158" s="43"/>
      <c r="G158" s="44"/>
    </row>
    <row r="159" spans="1:256" x14ac:dyDescent="0.35">
      <c r="A159" s="2" t="s">
        <v>116</v>
      </c>
      <c r="D159" s="22">
        <f>+D157-D158</f>
        <v>228879.7</v>
      </c>
    </row>
    <row r="160" spans="1:256" x14ac:dyDescent="0.35">
      <c r="A160" s="26" t="s">
        <v>117</v>
      </c>
      <c r="D160" s="12">
        <f>Coll_BegBal</f>
        <v>1346239494.45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118</v>
      </c>
      <c r="D162" s="66">
        <f>[5]Sources!B34</f>
        <v>0</v>
      </c>
      <c r="F162" s="65"/>
      <c r="G162" s="44"/>
    </row>
    <row r="163" spans="1:7" x14ac:dyDescent="0.35">
      <c r="A163" s="26" t="s">
        <v>119</v>
      </c>
      <c r="D163" s="66">
        <f>[5]Sources!B35</f>
        <v>8.8938310000000003E-4</v>
      </c>
      <c r="F163" s="65"/>
      <c r="G163" s="44"/>
    </row>
    <row r="164" spans="1:7" x14ac:dyDescent="0.35">
      <c r="A164" s="26" t="s">
        <v>120</v>
      </c>
      <c r="D164" s="66">
        <f>[5]Sources!B36</f>
        <v>1.0460573000000001E-3</v>
      </c>
      <c r="F164" s="65"/>
      <c r="G164" s="44"/>
    </row>
    <row r="165" spans="1:7" x14ac:dyDescent="0.35">
      <c r="A165" s="26" t="s">
        <v>121</v>
      </c>
      <c r="D165" s="66">
        <f>IF(D160&lt;=0,0,12*(D157-D158)/D160)</f>
        <v>2.0401692353574081E-3</v>
      </c>
      <c r="F165" s="43"/>
      <c r="G165" s="44"/>
    </row>
    <row r="166" spans="1:7" x14ac:dyDescent="0.35">
      <c r="A166" s="26" t="s">
        <v>122</v>
      </c>
      <c r="D166" s="64">
        <f>AVERAGE(D162:D165)</f>
        <v>9.939024088393522E-4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123</v>
      </c>
      <c r="D168" s="22">
        <f>[5]Collateral!C20</f>
        <v>458037.81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124</v>
      </c>
      <c r="D170" s="53" t="s">
        <v>41</v>
      </c>
      <c r="E170" s="53" t="s">
        <v>40</v>
      </c>
      <c r="F170" s="67" t="s">
        <v>125</v>
      </c>
      <c r="G170" s="44"/>
    </row>
    <row r="171" spans="1:7" x14ac:dyDescent="0.35">
      <c r="A171" s="41" t="s">
        <v>126</v>
      </c>
      <c r="D171" s="57">
        <f>[5]Collateral!C15</f>
        <v>3090916.73</v>
      </c>
      <c r="E171" s="68">
        <f>[5]Collateral!B15</f>
        <v>162</v>
      </c>
      <c r="F171" s="66">
        <f>[5]Collateral!D15</f>
        <v>2.3838240193149295E-3</v>
      </c>
      <c r="G171" s="44"/>
    </row>
    <row r="172" spans="1:7" x14ac:dyDescent="0.35">
      <c r="A172" s="41" t="s">
        <v>127</v>
      </c>
      <c r="D172" s="57">
        <f>[5]Collateral!C16</f>
        <v>500872.59</v>
      </c>
      <c r="E172" s="68">
        <f>[5]Collateral!B16</f>
        <v>27</v>
      </c>
      <c r="F172" s="66">
        <f>[5]Collateral!D16</f>
        <v>3.8629061050715494E-4</v>
      </c>
      <c r="G172" s="44"/>
    </row>
    <row r="173" spans="1:7" x14ac:dyDescent="0.35">
      <c r="A173" s="41" t="s">
        <v>128</v>
      </c>
      <c r="D173" s="19">
        <f>[5]Collateral!C17</f>
        <v>193033.69</v>
      </c>
      <c r="E173" s="69">
        <f>[5]Collateral!B17</f>
        <v>10</v>
      </c>
      <c r="F173" s="66">
        <f>[5]Collateral!D17</f>
        <v>1.4887439130687683E-4</v>
      </c>
      <c r="G173" s="44"/>
    </row>
    <row r="174" spans="1:7" x14ac:dyDescent="0.35">
      <c r="A174" s="41" t="s">
        <v>129</v>
      </c>
      <c r="D174" s="70">
        <f>+[5]Collateral!C18</f>
        <v>0</v>
      </c>
      <c r="E174" s="71">
        <f>+[5]Collateral!B18</f>
        <v>0</v>
      </c>
      <c r="F174" s="72">
        <f>[5]Collateral!D18</f>
        <v>0</v>
      </c>
      <c r="G174" s="44"/>
    </row>
    <row r="175" spans="1:7" x14ac:dyDescent="0.35">
      <c r="A175" s="26" t="s">
        <v>130</v>
      </c>
      <c r="D175" s="73">
        <f>SUM(D171:D174)</f>
        <v>3784823.01</v>
      </c>
      <c r="E175" s="68">
        <f>SUM(E171:E174)</f>
        <v>199</v>
      </c>
      <c r="F175" s="74">
        <f>SUM(F171:F174)</f>
        <v>2.9189890211289613E-3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131</v>
      </c>
      <c r="D177" s="66"/>
      <c r="E177" s="66"/>
      <c r="F177" s="65"/>
      <c r="G177" s="44"/>
    </row>
    <row r="178" spans="1:7" x14ac:dyDescent="0.35">
      <c r="A178" s="26" t="s">
        <v>132</v>
      </c>
      <c r="D178" s="66">
        <f>[5]Collateral!C22</f>
        <v>0</v>
      </c>
      <c r="E178" s="66">
        <f>[5]Collateral!B22</f>
        <v>0</v>
      </c>
      <c r="F178" s="65"/>
      <c r="G178" s="44"/>
    </row>
    <row r="179" spans="1:7" x14ac:dyDescent="0.35">
      <c r="A179" s="26" t="s">
        <v>133</v>
      </c>
      <c r="D179" s="66">
        <f>[5]Collateral!C23</f>
        <v>2.2087300000000001E-5</v>
      </c>
      <c r="E179" s="66">
        <f>[5]Collateral!B23</f>
        <v>1.32022E-5</v>
      </c>
      <c r="F179" s="65"/>
      <c r="G179" s="44"/>
    </row>
    <row r="180" spans="1:7" x14ac:dyDescent="0.35">
      <c r="A180" s="26" t="s">
        <v>134</v>
      </c>
      <c r="D180" s="66">
        <f>[5]Collateral!C24</f>
        <v>2.985617E-4</v>
      </c>
      <c r="E180" s="66">
        <f>[5]Collateral!B24</f>
        <v>2.804862E-4</v>
      </c>
      <c r="F180" s="65"/>
      <c r="G180" s="44"/>
    </row>
    <row r="181" spans="1:7" x14ac:dyDescent="0.35">
      <c r="A181" s="26" t="s">
        <v>135</v>
      </c>
      <c r="D181" s="66">
        <f>IF(Coll_EndBal&lt;=0,0,SUM(D172:D174)/Coll_EndBal)</f>
        <v>5.3516500181403177E-4</v>
      </c>
      <c r="E181" s="66">
        <f>IF(D53&lt;=0,0,SUM('Dec23'!E172:E174)/D53)</f>
        <v>5.0029070946631146E-4</v>
      </c>
      <c r="F181" s="43"/>
      <c r="G181" s="44"/>
    </row>
    <row r="182" spans="1:7" x14ac:dyDescent="0.35">
      <c r="A182" s="26" t="s">
        <v>136</v>
      </c>
      <c r="D182" s="66">
        <f>AVERAGE(D178:D181)</f>
        <v>2.1395350045350794E-4</v>
      </c>
      <c r="E182" s="66">
        <f>AVERAGE(E178:E181)</f>
        <v>1.9849477736657786E-4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137</v>
      </c>
      <c r="D184" s="75">
        <f>+[5]Collateral!C27</f>
        <v>736474.15</v>
      </c>
      <c r="F184" s="43"/>
      <c r="G184" s="44"/>
    </row>
    <row r="185" spans="1:7" x14ac:dyDescent="0.35">
      <c r="A185" s="2" t="s">
        <v>138</v>
      </c>
      <c r="D185" s="63">
        <f>IF(Coll_EndBal&lt;=0,0,[5]Collateral!C27/Coll_EndBal)</f>
        <v>5.6799484480921179E-4</v>
      </c>
      <c r="F185" s="43"/>
      <c r="G185" s="44"/>
    </row>
    <row r="186" spans="1:7" x14ac:dyDescent="0.35">
      <c r="A186" s="2" t="s">
        <v>139</v>
      </c>
      <c r="D186" s="66">
        <f>+'[5]Initial Data'!D49</f>
        <v>4.9000000000000002E-2</v>
      </c>
      <c r="F186" s="43"/>
      <c r="G186" s="44"/>
    </row>
    <row r="187" spans="1:7" x14ac:dyDescent="0.35">
      <c r="A187" s="2" t="s">
        <v>140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141</v>
      </c>
      <c r="D189" s="77">
        <f>[5]Collateral!C32</f>
        <v>4447040.09</v>
      </c>
      <c r="F189" s="43"/>
      <c r="G189" s="44"/>
    </row>
    <row r="190" spans="1:7" x14ac:dyDescent="0.35">
      <c r="A190" s="2" t="s">
        <v>142</v>
      </c>
      <c r="B190" s="78"/>
      <c r="C190" s="78"/>
      <c r="D190" s="79">
        <f>[5]Collateral!B32</f>
        <v>192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143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144</v>
      </c>
      <c r="E195" s="10"/>
      <c r="F195" s="43"/>
      <c r="G195" s="44"/>
    </row>
    <row r="196" spans="1:7" x14ac:dyDescent="0.35">
      <c r="A196" s="26" t="s">
        <v>145</v>
      </c>
      <c r="E196" s="10"/>
      <c r="F196" s="43"/>
      <c r="G196" s="44"/>
    </row>
    <row r="197" spans="1:7" x14ac:dyDescent="0.35">
      <c r="A197" s="26" t="s">
        <v>146</v>
      </c>
      <c r="E197" s="80"/>
      <c r="F197" s="43"/>
      <c r="G197" s="44"/>
    </row>
    <row r="198" spans="1:7" x14ac:dyDescent="0.35">
      <c r="A198" s="26" t="s">
        <v>147</v>
      </c>
      <c r="E198" s="80" t="str">
        <f>VLOOKUP("STMNT_TO_NOTEHLD_2",'[5]Current Data'!B:F,2,FALSE)</f>
        <v>NO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148</v>
      </c>
      <c r="E200" s="10"/>
      <c r="F200" s="43"/>
      <c r="G200" s="44"/>
    </row>
    <row r="201" spans="1:7" x14ac:dyDescent="0.35">
      <c r="A201" s="26" t="s">
        <v>149</v>
      </c>
      <c r="E201" s="80" t="str">
        <f>VLOOKUP("STMNT_TO_NOTEHLD_4",'[5]Current Data'!B:F,2,FALSE)</f>
        <v>NO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150</v>
      </c>
      <c r="E203" s="10"/>
      <c r="F203" s="43"/>
      <c r="G203" s="44"/>
    </row>
    <row r="204" spans="1:7" x14ac:dyDescent="0.35">
      <c r="A204" s="26" t="s">
        <v>151</v>
      </c>
      <c r="E204" s="80" t="str">
        <f>VLOOKUP("STMNT_TO_NOTEHLD_5",'[5]Current Data'!B:F,2,FALSE)</f>
        <v>NO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152</v>
      </c>
      <c r="E206" s="10"/>
      <c r="G206" s="44"/>
    </row>
    <row r="207" spans="1:7" x14ac:dyDescent="0.35">
      <c r="A207" s="26" t="s">
        <v>153</v>
      </c>
      <c r="E207" s="80" t="str">
        <f>VLOOKUP("STMNT_TO_NOTEHLD_6",'[5]Current Data'!B:F,2,FALSE)</f>
        <v>NO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23-B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40FC9-A578-41A0-A541-3CEF6EF32DAD}">
  <sheetPr codeName="Sheet7">
    <pageSetUpPr fitToPage="1"/>
  </sheetPr>
  <dimension ref="A1:IV228"/>
  <sheetViews>
    <sheetView showRuler="0" zoomScale="80" zoomScaleNormal="80" zoomScaleSheetLayoutView="90" workbookViewId="0">
      <selection activeCell="A33" sqref="A33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159</v>
      </c>
    </row>
    <row r="2" spans="1:13" ht="15.75" customHeight="1" x14ac:dyDescent="0.45">
      <c r="C2" s="5"/>
    </row>
    <row r="3" spans="1:13" ht="15.75" customHeight="1" x14ac:dyDescent="0.45">
      <c r="A3" s="2" t="s">
        <v>0</v>
      </c>
      <c r="B3" s="6">
        <f>[4]Notes!C20</f>
        <v>45260</v>
      </c>
      <c r="C3" s="7" t="s">
        <v>1</v>
      </c>
      <c r="D3" s="2">
        <f>[4]Notes!C30</f>
        <v>30</v>
      </c>
      <c r="E3" s="2" t="s">
        <v>2</v>
      </c>
      <c r="F3" s="8">
        <f>[4]Notes!C19+1</f>
        <v>45231</v>
      </c>
      <c r="G3" s="2"/>
    </row>
    <row r="4" spans="1:13" ht="15.75" customHeight="1" x14ac:dyDescent="0.45">
      <c r="A4" s="2" t="s">
        <v>3</v>
      </c>
      <c r="B4" s="6">
        <f>Curr_DistDate</f>
        <v>45275</v>
      </c>
      <c r="C4" s="7" t="s">
        <v>4</v>
      </c>
      <c r="D4" s="9">
        <f>[4]Notes!C31</f>
        <v>30</v>
      </c>
      <c r="E4" s="2" t="s">
        <v>5</v>
      </c>
      <c r="F4" s="8">
        <f>[4]Notes!C20</f>
        <v>45260</v>
      </c>
      <c r="G4" s="2"/>
    </row>
    <row r="5" spans="1:13" ht="17.25" customHeight="1" x14ac:dyDescent="0.45">
      <c r="C5" s="5"/>
      <c r="E5" s="2" t="s">
        <v>6</v>
      </c>
      <c r="F5" s="8">
        <f>IF(Curr_DistDate&lt;&gt;First_DistDate,Prev_DistDate,[4]Notes!C15)</f>
        <v>45245</v>
      </c>
      <c r="G5" s="2"/>
    </row>
    <row r="6" spans="1:13" ht="15.75" customHeight="1" x14ac:dyDescent="0.45">
      <c r="C6" s="5"/>
      <c r="E6" s="2" t="s">
        <v>7</v>
      </c>
      <c r="F6" s="8">
        <f>Curr_DistDate</f>
        <v>45275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8</v>
      </c>
      <c r="C9" s="14" t="s">
        <v>9</v>
      </c>
      <c r="D9" s="14" t="s">
        <v>10</v>
      </c>
      <c r="E9" s="14" t="s">
        <v>11</v>
      </c>
      <c r="F9" s="15" t="s">
        <v>12</v>
      </c>
    </row>
    <row r="10" spans="1:13" x14ac:dyDescent="0.35">
      <c r="A10" s="2" t="s">
        <v>13</v>
      </c>
      <c r="B10" s="16"/>
      <c r="C10" s="17">
        <f>VLOOKUP("0702_COLLATERAL_BALANCE",'[4]Initial Data'!B:F,3,FALSE)</f>
        <v>1449675307.3599999</v>
      </c>
      <c r="D10" s="18">
        <f>Coll_BegBal</f>
        <v>1396272094.9400001</v>
      </c>
      <c r="E10" s="19">
        <f>Coll_EndBal</f>
        <v>1346239494.45</v>
      </c>
      <c r="F10" s="20">
        <f>IF(C12&lt;=0,0,E10/C12)</f>
        <v>1.0339119309223812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14</v>
      </c>
      <c r="B11" s="16"/>
      <c r="C11" s="23">
        <f>VLOOKUP("OVERCOLLATERAL_BALANCE",'[4]Initial Data'!B:F,3,FALSE)</f>
        <v>147591973</v>
      </c>
      <c r="D11" s="18">
        <f>OC_BegBal</f>
        <v>139479250</v>
      </c>
      <c r="E11" s="19">
        <f>OC_EndBal</f>
        <v>132003549.76000001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15</v>
      </c>
      <c r="B12" s="16"/>
      <c r="C12" s="24">
        <f>C10-C11</f>
        <v>1302083334.3599999</v>
      </c>
      <c r="D12" s="18">
        <f>Adj_BegBal</f>
        <v>1256792844.9400001</v>
      </c>
      <c r="E12" s="19">
        <f>Adj_EndBal</f>
        <v>1214235944.6900001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16</v>
      </c>
      <c r="B13" s="10"/>
      <c r="C13" s="24">
        <f>SUM(C14:C19)</f>
        <v>1302083334.3599999</v>
      </c>
      <c r="D13" s="18">
        <f>SUM(D14:D19)</f>
        <v>1256792844.9399998</v>
      </c>
      <c r="E13" s="19">
        <f>SUM(E14:E19)</f>
        <v>1214235944.6900001</v>
      </c>
      <c r="F13" s="20">
        <f>IF(C13&lt;=0,0,E13/C13)</f>
        <v>0.93253320478663637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17</v>
      </c>
      <c r="B14" s="27">
        <f>[4]Notes!$F$4</f>
        <v>5.7090000000000002E-2</v>
      </c>
      <c r="C14" s="23">
        <f>[4]Notes!$B$4</f>
        <v>352000000</v>
      </c>
      <c r="D14" s="18">
        <f>[4]Notes!C4</f>
        <v>306709510.57999998</v>
      </c>
      <c r="E14" s="19">
        <f>[4]Notes!P4</f>
        <v>264152610.33000022</v>
      </c>
      <c r="F14" s="20">
        <f t="shared" ref="F14:F19" si="0">IF(C14&lt;=0,0,E14/C14)</f>
        <v>0.75043355207386431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18</v>
      </c>
      <c r="B15" s="27">
        <f>[4]Notes!$F$5</f>
        <v>5.9499999999999997E-2</v>
      </c>
      <c r="C15" s="23">
        <f>[4]Notes!$B$5</f>
        <v>219500000</v>
      </c>
      <c r="D15" s="18">
        <f>[4]Notes!C5</f>
        <v>219500000</v>
      </c>
      <c r="E15" s="19">
        <f>[4]Notes!P5</f>
        <v>219500000</v>
      </c>
      <c r="F15" s="20">
        <f t="shared" si="0"/>
        <v>1</v>
      </c>
      <c r="G15" s="21"/>
      <c r="I15" s="22"/>
      <c r="J15" s="22"/>
      <c r="K15" s="22"/>
      <c r="L15" s="22"/>
      <c r="M15" s="22"/>
    </row>
    <row r="16" spans="1:13" x14ac:dyDescent="0.35">
      <c r="A16" s="26" t="s">
        <v>19</v>
      </c>
      <c r="B16" s="27">
        <f>[4]Notes!$F$6</f>
        <v>5.8840400000000001E-2</v>
      </c>
      <c r="C16" s="23">
        <f>[4]Notes!$B$6</f>
        <v>219500000</v>
      </c>
      <c r="D16" s="18">
        <f>[4]Notes!C6</f>
        <v>219500000</v>
      </c>
      <c r="E16" s="19">
        <f>[4]Notes!P6</f>
        <v>219500000</v>
      </c>
      <c r="F16" s="20">
        <f>IF(C16&lt;=0,0,E16/C16)</f>
        <v>1</v>
      </c>
      <c r="G16" s="21"/>
      <c r="I16" s="22"/>
      <c r="J16" s="22"/>
      <c r="K16" s="22"/>
      <c r="L16" s="22"/>
      <c r="M16" s="22"/>
    </row>
    <row r="17" spans="1:13" x14ac:dyDescent="0.35">
      <c r="A17" s="26" t="s">
        <v>20</v>
      </c>
      <c r="B17" s="27">
        <f>[4]Notes!$F$7</f>
        <v>5.9299999999999999E-2</v>
      </c>
      <c r="C17" s="23">
        <f>[4]Notes!$B$7</f>
        <v>376000000</v>
      </c>
      <c r="D17" s="18">
        <f>[4]Notes!C7</f>
        <v>376000000</v>
      </c>
      <c r="E17" s="19">
        <f>[4]Notes!P7</f>
        <v>376000000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21</v>
      </c>
      <c r="B18" s="27">
        <f>[4]Notes!$F$8</f>
        <v>5.96E-2</v>
      </c>
      <c r="C18" s="23">
        <f>[4]Notes!$B$8</f>
        <v>83000000</v>
      </c>
      <c r="D18" s="18">
        <f>[4]Notes!C8</f>
        <v>83000000</v>
      </c>
      <c r="E18" s="19">
        <f>[4]Notes!P8</f>
        <v>83000000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22</v>
      </c>
      <c r="B19" s="27">
        <f>IF(OR(Curr_DistDate&gt;=A2_FinalDist,Events_of_Default="Yes",Rescission="Yes"),A2a_BegBal,IF(AND(A2a_BegBal&lt;&gt;0,A1_EndBal=0),MIN(A2a_BegBal,MAX(0,(Adj_BegBal-Adj_EndBal-C18)*'Nov23'!C15/SUM('Nov23'!C15:C16))),0))</f>
        <v>0</v>
      </c>
      <c r="C19" s="17">
        <f>[4]Notes!$B$9</f>
        <v>52083334.359999999</v>
      </c>
      <c r="D19" s="18">
        <f>[4]Notes!C9</f>
        <v>52083334.359999999</v>
      </c>
      <c r="E19" s="19">
        <f>[4]Notes!P9</f>
        <v>52083334.359999999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23</v>
      </c>
      <c r="C22" s="32" t="s">
        <v>24</v>
      </c>
      <c r="D22" s="33" t="s">
        <v>25</v>
      </c>
      <c r="E22" s="33" t="s">
        <v>26</v>
      </c>
      <c r="F22" s="31"/>
    </row>
    <row r="23" spans="1:13" x14ac:dyDescent="0.35">
      <c r="A23" s="26" t="s">
        <v>17</v>
      </c>
      <c r="B23" s="18">
        <f>[4]Notes!N4</f>
        <v>42556900.249999762</v>
      </c>
      <c r="C23" s="18">
        <f>[4]Notes!K4</f>
        <v>1459170.5</v>
      </c>
      <c r="D23" s="34">
        <f>IF(C14&lt;=0,0,B23/(C14/1000))</f>
        <v>120.90028480113568</v>
      </c>
      <c r="E23" s="35">
        <f>IF(C14&lt;=0,0,C23/(C14/1000))</f>
        <v>4.1453707386363634</v>
      </c>
      <c r="F23" s="31"/>
    </row>
    <row r="24" spans="1:13" x14ac:dyDescent="0.35">
      <c r="A24" s="26" t="s">
        <v>18</v>
      </c>
      <c r="B24" s="18">
        <f>[4]Notes!N5</f>
        <v>0</v>
      </c>
      <c r="C24" s="18">
        <f>[4]Notes!K5</f>
        <v>1088354.17</v>
      </c>
      <c r="D24" s="34">
        <f t="shared" ref="D24:D28" si="1">IF(C15&lt;=0,0,B24/(C15/1000))</f>
        <v>0</v>
      </c>
      <c r="E24" s="35">
        <f t="shared" ref="E24:E28" si="2">IF(C15&lt;=0,0,C24/(C15/1000))</f>
        <v>4.9583333485193615</v>
      </c>
      <c r="F24" s="31"/>
    </row>
    <row r="25" spans="1:13" x14ac:dyDescent="0.35">
      <c r="A25" s="26" t="s">
        <v>19</v>
      </c>
      <c r="B25" s="18">
        <f>[4]Notes!N6</f>
        <v>0</v>
      </c>
      <c r="C25" s="18">
        <f>[4]Notes!K6</f>
        <v>1076288.98</v>
      </c>
      <c r="D25" s="34">
        <f t="shared" si="1"/>
        <v>0</v>
      </c>
      <c r="E25" s="35">
        <f>IF(C16&lt;=0,0,C25/(C16/1000))</f>
        <v>4.9033666514806376</v>
      </c>
      <c r="F25" s="31"/>
    </row>
    <row r="26" spans="1:13" x14ac:dyDescent="0.35">
      <c r="A26" s="26" t="s">
        <v>20</v>
      </c>
      <c r="B26" s="18">
        <f>[4]Notes!N7</f>
        <v>0</v>
      </c>
      <c r="C26" s="18">
        <f>[4]Notes!K7</f>
        <v>1858066.67</v>
      </c>
      <c r="D26" s="34">
        <f t="shared" si="1"/>
        <v>0</v>
      </c>
      <c r="E26" s="35">
        <f t="shared" si="2"/>
        <v>4.9416666755319145</v>
      </c>
      <c r="F26" s="31"/>
    </row>
    <row r="27" spans="1:13" x14ac:dyDescent="0.35">
      <c r="A27" s="26" t="s">
        <v>21</v>
      </c>
      <c r="B27" s="18">
        <f>[4]Notes!N8</f>
        <v>0</v>
      </c>
      <c r="C27" s="18">
        <f>[4]Notes!K8</f>
        <v>412233.33</v>
      </c>
      <c r="D27" s="34">
        <f t="shared" si="1"/>
        <v>0</v>
      </c>
      <c r="E27" s="35">
        <f t="shared" si="2"/>
        <v>4.966666626506024</v>
      </c>
      <c r="F27" s="31"/>
    </row>
    <row r="28" spans="1:13" x14ac:dyDescent="0.35">
      <c r="A28" s="26" t="s">
        <v>22</v>
      </c>
      <c r="B28" s="18">
        <f>[4]Notes!N9</f>
        <v>0</v>
      </c>
      <c r="C28" s="18">
        <f>[4]Notes!K9</f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27</v>
      </c>
      <c r="B29" s="36">
        <f>SUM(B23:B28)</f>
        <v>42556900.249999762</v>
      </c>
      <c r="C29" s="36">
        <f>SUM(C23:C28)</f>
        <v>5894113.6500000004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28</v>
      </c>
      <c r="E32" s="40"/>
    </row>
    <row r="33" spans="1:7" x14ac:dyDescent="0.35">
      <c r="E33" s="40"/>
    </row>
    <row r="34" spans="1:7" x14ac:dyDescent="0.35">
      <c r="A34" s="26" t="s">
        <v>29</v>
      </c>
    </row>
    <row r="35" spans="1:7" x14ac:dyDescent="0.35">
      <c r="A35" s="41" t="s">
        <v>30</v>
      </c>
      <c r="E35" s="42">
        <f>[4]Sources!B6</f>
        <v>4229181.9000000004</v>
      </c>
      <c r="F35" s="43"/>
      <c r="G35" s="44"/>
    </row>
    <row r="36" spans="1:7" x14ac:dyDescent="0.35">
      <c r="A36" s="41" t="s">
        <v>31</v>
      </c>
      <c r="E36" s="45">
        <f>[4]Sources!B28</f>
        <v>0</v>
      </c>
      <c r="F36" s="43"/>
      <c r="G36" s="44"/>
    </row>
    <row r="37" spans="1:7" x14ac:dyDescent="0.35">
      <c r="A37" s="26" t="s">
        <v>32</v>
      </c>
      <c r="E37" s="42">
        <f>SUM(E35:E36)</f>
        <v>4229181.9000000004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33</v>
      </c>
      <c r="E39" s="46"/>
      <c r="F39" s="43"/>
      <c r="G39" s="44"/>
    </row>
    <row r="40" spans="1:7" x14ac:dyDescent="0.35">
      <c r="A40" s="41" t="s">
        <v>34</v>
      </c>
      <c r="E40" s="42">
        <f>[4]Sources!B14</f>
        <v>49854635.439999998</v>
      </c>
      <c r="F40" s="43"/>
      <c r="G40" s="44"/>
    </row>
    <row r="41" spans="1:7" x14ac:dyDescent="0.35">
      <c r="A41" s="41" t="s">
        <v>35</v>
      </c>
      <c r="E41" s="45">
        <f>[4]Sources!B29</f>
        <v>0</v>
      </c>
      <c r="F41" s="43"/>
      <c r="G41" s="44"/>
    </row>
    <row r="42" spans="1:7" x14ac:dyDescent="0.35">
      <c r="A42" s="26" t="s">
        <v>36</v>
      </c>
      <c r="E42" s="42">
        <f>SUM(E40:E41)</f>
        <v>49854635.439999998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37</v>
      </c>
      <c r="E44" s="42">
        <f>[4]Sources!B16</f>
        <v>56250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38</v>
      </c>
      <c r="E47" s="49">
        <f>E37+E42+E44</f>
        <v>54140067.339999996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39</v>
      </c>
      <c r="D49" s="51"/>
      <c r="E49" s="52"/>
      <c r="F49" s="43"/>
      <c r="G49" s="44"/>
    </row>
    <row r="50" spans="1:7" x14ac:dyDescent="0.35">
      <c r="D50" s="53" t="s">
        <v>40</v>
      </c>
      <c r="E50" s="53" t="s">
        <v>41</v>
      </c>
      <c r="F50" s="43"/>
      <c r="G50" s="44"/>
    </row>
    <row r="51" spans="1:7" x14ac:dyDescent="0.35">
      <c r="A51" s="26" t="s">
        <v>42</v>
      </c>
      <c r="D51" s="54">
        <f>[4]Collateral!C4</f>
        <v>75745</v>
      </c>
      <c r="E51" s="48">
        <f>Adj_BegBal</f>
        <v>1256792844.9400001</v>
      </c>
      <c r="F51" s="43"/>
      <c r="G51" s="44"/>
    </row>
    <row r="52" spans="1:7" x14ac:dyDescent="0.35">
      <c r="A52" s="26" t="s">
        <v>43</v>
      </c>
      <c r="D52" s="10"/>
      <c r="E52" s="45">
        <f>D12-E12</f>
        <v>42556900.25</v>
      </c>
      <c r="F52" s="43"/>
      <c r="G52" s="44"/>
    </row>
    <row r="53" spans="1:7" x14ac:dyDescent="0.35">
      <c r="A53" s="26"/>
      <c r="D53" s="55">
        <f>IF([4]Notes!S1=1,[4]Collateral!C5,0)</f>
        <v>74870</v>
      </c>
      <c r="E53" s="56">
        <f>E51-E52</f>
        <v>1214235944.6900001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44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38</v>
      </c>
      <c r="E57" s="57">
        <f>E47</f>
        <v>54140067.339999996</v>
      </c>
      <c r="F57" s="43"/>
      <c r="G57" s="44"/>
    </row>
    <row r="58" spans="1:7" x14ac:dyDescent="0.35">
      <c r="A58" s="26" t="s">
        <v>45</v>
      </c>
      <c r="E58" s="57">
        <f>'[4]Credit Support'!B6</f>
        <v>0</v>
      </c>
      <c r="F58" s="43"/>
      <c r="G58" s="44"/>
    </row>
    <row r="59" spans="1:7" x14ac:dyDescent="0.35">
      <c r="A59" s="26" t="s">
        <v>46</v>
      </c>
      <c r="E59" s="12">
        <f>SUM(E57:E58)</f>
        <v>54140067.339999996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47</v>
      </c>
      <c r="E61" s="25">
        <f>[4]Waterfall!B9</f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48</v>
      </c>
      <c r="F63" s="43"/>
      <c r="G63" s="44"/>
    </row>
    <row r="64" spans="1:7" x14ac:dyDescent="0.35">
      <c r="A64" s="41" t="s">
        <v>49</v>
      </c>
      <c r="E64" s="57">
        <f>ROUND([4]Waterfall!B10,2)</f>
        <v>1163560.08</v>
      </c>
      <c r="F64" s="43"/>
      <c r="G64" s="44"/>
    </row>
    <row r="65" spans="1:7" x14ac:dyDescent="0.35">
      <c r="A65" s="41" t="s">
        <v>50</v>
      </c>
      <c r="E65" s="57">
        <f>ROUND([4]Waterfall!C10,2)</f>
        <v>1163560.08</v>
      </c>
      <c r="F65" s="43"/>
      <c r="G65" s="44"/>
    </row>
    <row r="66" spans="1:7" x14ac:dyDescent="0.35">
      <c r="A66" s="41" t="s">
        <v>51</v>
      </c>
      <c r="E66" s="12">
        <f>[4]Waterfall!E10</f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52</v>
      </c>
      <c r="F68" s="43"/>
      <c r="G68" s="44"/>
    </row>
    <row r="69" spans="1:7" x14ac:dyDescent="0.35">
      <c r="A69" s="41" t="s">
        <v>53</v>
      </c>
      <c r="F69" s="43"/>
      <c r="G69" s="44"/>
    </row>
    <row r="70" spans="1:7" x14ac:dyDescent="0.35">
      <c r="A70" s="58" t="s">
        <v>54</v>
      </c>
      <c r="E70" s="57">
        <f>[4]Notes!I4</f>
        <v>0</v>
      </c>
      <c r="F70" s="43"/>
      <c r="G70" s="44"/>
    </row>
    <row r="71" spans="1:7" x14ac:dyDescent="0.35">
      <c r="A71" s="58" t="s">
        <v>55</v>
      </c>
      <c r="E71" s="57">
        <f>[4]Notes!J4</f>
        <v>0</v>
      </c>
      <c r="F71" s="43"/>
      <c r="G71" s="44"/>
    </row>
    <row r="72" spans="1:7" x14ac:dyDescent="0.35">
      <c r="A72" s="58" t="s">
        <v>56</v>
      </c>
      <c r="E72" s="57">
        <f>[4]Notes!H4</f>
        <v>1459170.5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57</v>
      </c>
      <c r="E74" s="57">
        <f>[4]Notes!K4</f>
        <v>1459170.5</v>
      </c>
      <c r="F74" s="43"/>
      <c r="G74" s="44"/>
    </row>
    <row r="75" spans="1:7" x14ac:dyDescent="0.35">
      <c r="A75" s="58" t="s">
        <v>58</v>
      </c>
      <c r="E75" s="57">
        <f>[4]Notes!L4-[4]Notes!I4</f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59</v>
      </c>
      <c r="F77" s="43"/>
      <c r="G77" s="44"/>
    </row>
    <row r="78" spans="1:7" x14ac:dyDescent="0.35">
      <c r="A78" s="58" t="s">
        <v>60</v>
      </c>
      <c r="E78" s="57">
        <f>[4]Notes!I5</f>
        <v>0</v>
      </c>
      <c r="F78" s="43"/>
      <c r="G78" s="44"/>
    </row>
    <row r="79" spans="1:7" x14ac:dyDescent="0.35">
      <c r="A79" s="58" t="s">
        <v>61</v>
      </c>
      <c r="E79" s="57">
        <f>[4]Notes!J5</f>
        <v>0</v>
      </c>
      <c r="F79" s="43"/>
      <c r="G79" s="44"/>
    </row>
    <row r="80" spans="1:7" x14ac:dyDescent="0.35">
      <c r="A80" s="58" t="s">
        <v>62</v>
      </c>
      <c r="E80" s="57">
        <f>[4]Notes!H5</f>
        <v>1088354.17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63</v>
      </c>
      <c r="E82" s="57">
        <f>[4]Notes!K5</f>
        <v>1088354.17</v>
      </c>
      <c r="F82" s="43"/>
      <c r="G82" s="44"/>
    </row>
    <row r="83" spans="1:7" x14ac:dyDescent="0.35">
      <c r="A83" s="58" t="s">
        <v>64</v>
      </c>
      <c r="E83" s="57">
        <f>[4]Notes!L5-[4]Notes!I5</f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65</v>
      </c>
      <c r="F85" s="43"/>
      <c r="G85" s="44"/>
    </row>
    <row r="86" spans="1:7" x14ac:dyDescent="0.35">
      <c r="A86" s="58" t="s">
        <v>66</v>
      </c>
      <c r="E86" s="57">
        <f>[4]Notes!I6</f>
        <v>0</v>
      </c>
      <c r="F86" s="43"/>
      <c r="G86" s="44"/>
    </row>
    <row r="87" spans="1:7" x14ac:dyDescent="0.35">
      <c r="A87" s="58" t="s">
        <v>67</v>
      </c>
      <c r="E87" s="57">
        <f>[4]Notes!J6</f>
        <v>0</v>
      </c>
      <c r="F87" s="43"/>
      <c r="G87" s="44"/>
    </row>
    <row r="88" spans="1:7" x14ac:dyDescent="0.35">
      <c r="A88" s="58" t="s">
        <v>68</v>
      </c>
      <c r="E88" s="57">
        <f>[4]Notes!H6</f>
        <v>1076288.98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69</v>
      </c>
      <c r="E90" s="57">
        <f>[4]Notes!K6</f>
        <v>1076288.98</v>
      </c>
      <c r="F90" s="43"/>
      <c r="G90" s="44"/>
    </row>
    <row r="91" spans="1:7" x14ac:dyDescent="0.35">
      <c r="A91" s="58" t="s">
        <v>70</v>
      </c>
      <c r="E91" s="57">
        <f>[4]Notes!L6-[4]Notes!I6</f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71</v>
      </c>
      <c r="F93" s="43"/>
      <c r="G93" s="44"/>
    </row>
    <row r="94" spans="1:7" x14ac:dyDescent="0.35">
      <c r="A94" s="58" t="s">
        <v>72</v>
      </c>
      <c r="E94" s="57">
        <f>[4]Notes!I7</f>
        <v>0</v>
      </c>
      <c r="F94" s="43"/>
      <c r="G94" s="44"/>
    </row>
    <row r="95" spans="1:7" x14ac:dyDescent="0.35">
      <c r="A95" s="58" t="s">
        <v>73</v>
      </c>
      <c r="E95" s="57">
        <f>[4]Notes!J7</f>
        <v>0</v>
      </c>
      <c r="F95" s="43"/>
      <c r="G95" s="44"/>
    </row>
    <row r="96" spans="1:7" x14ac:dyDescent="0.35">
      <c r="A96" s="58" t="s">
        <v>74</v>
      </c>
      <c r="E96" s="57">
        <f>[4]Notes!H7</f>
        <v>1858066.67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75</v>
      </c>
      <c r="E98" s="57">
        <f>[4]Notes!K7</f>
        <v>1858066.67</v>
      </c>
      <c r="F98" s="43"/>
      <c r="G98" s="44"/>
    </row>
    <row r="99" spans="1:7" x14ac:dyDescent="0.35">
      <c r="A99" s="58" t="s">
        <v>76</v>
      </c>
      <c r="E99" s="57">
        <f>[4]Notes!L7-[4]Notes!I7</f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77</v>
      </c>
      <c r="F101" s="43"/>
      <c r="G101" s="44"/>
    </row>
    <row r="102" spans="1:7" x14ac:dyDescent="0.35">
      <c r="A102" s="58" t="s">
        <v>78</v>
      </c>
      <c r="E102" s="57">
        <f>[4]Notes!I8</f>
        <v>0</v>
      </c>
      <c r="F102" s="43"/>
      <c r="G102" s="44"/>
    </row>
    <row r="103" spans="1:7" x14ac:dyDescent="0.35">
      <c r="A103" s="58" t="s">
        <v>79</v>
      </c>
      <c r="E103" s="57">
        <f>[4]Notes!J8</f>
        <v>0</v>
      </c>
      <c r="F103" s="43"/>
      <c r="G103" s="44"/>
    </row>
    <row r="104" spans="1:7" x14ac:dyDescent="0.35">
      <c r="A104" s="58" t="s">
        <v>80</v>
      </c>
      <c r="E104" s="57">
        <f>[4]Notes!H8</f>
        <v>412233.33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81</v>
      </c>
      <c r="E106" s="57">
        <f>[4]Notes!K8</f>
        <v>412233.33</v>
      </c>
      <c r="F106" s="43"/>
      <c r="G106" s="44"/>
    </row>
    <row r="107" spans="1:7" x14ac:dyDescent="0.35">
      <c r="A107" s="58" t="s">
        <v>82</v>
      </c>
      <c r="E107" s="57">
        <f>[4]Notes!L8-[4]Notes!I8</f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83</v>
      </c>
      <c r="F109" s="43"/>
      <c r="G109" s="44"/>
    </row>
    <row r="110" spans="1:7" x14ac:dyDescent="0.35">
      <c r="A110" s="58" t="s">
        <v>84</v>
      </c>
      <c r="E110" s="12">
        <f>E72+E80+E88+E96+E104</f>
        <v>5894113.6500000004</v>
      </c>
      <c r="F110" s="43"/>
      <c r="G110" s="44"/>
    </row>
    <row r="111" spans="1:7" x14ac:dyDescent="0.35">
      <c r="A111" s="58" t="s">
        <v>85</v>
      </c>
      <c r="E111" s="12">
        <f>E74+E82+E90+E98+E106</f>
        <v>5894113.6500000004</v>
      </c>
      <c r="F111" s="43"/>
      <c r="G111" s="44"/>
    </row>
    <row r="112" spans="1:7" x14ac:dyDescent="0.35">
      <c r="A112" s="58" t="s">
        <v>86</v>
      </c>
      <c r="E112" s="12">
        <f>E70+E78+E94+E102</f>
        <v>0</v>
      </c>
      <c r="F112" s="43"/>
      <c r="G112" s="44"/>
    </row>
    <row r="113" spans="1:7" x14ac:dyDescent="0.35">
      <c r="A113" s="58" t="s">
        <v>87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88</v>
      </c>
      <c r="E115" s="22">
        <f>Avail_Amt-SUM([4]Waterfall!C9:C17)</f>
        <v>47082393.610883325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89</v>
      </c>
      <c r="E117" s="59">
        <f>SUM([4]Notes!N4:N8)</f>
        <v>42556900.249999762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90</v>
      </c>
      <c r="E119" s="57">
        <f>SUM([4]Notes!M4:M8)</f>
        <v>0</v>
      </c>
      <c r="F119" s="43"/>
      <c r="G119" s="44"/>
    </row>
    <row r="120" spans="1:7" x14ac:dyDescent="0.35">
      <c r="A120" s="41" t="s">
        <v>91</v>
      </c>
      <c r="E120" s="60">
        <f>SUM([4]Notes!N4:N8)</f>
        <v>42556900.249999762</v>
      </c>
      <c r="F120" s="43"/>
      <c r="G120" s="44"/>
    </row>
    <row r="121" spans="1:7" x14ac:dyDescent="0.35">
      <c r="A121" s="41" t="s">
        <v>92</v>
      </c>
      <c r="E121" s="12">
        <f>SUM([4]Notes!O4:O8)-SUM([4]Notes!M4:M8)</f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93</v>
      </c>
      <c r="E123" s="12">
        <f>[4]Notes!N9</f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94</v>
      </c>
      <c r="E125" s="57">
        <f>[4]Notes!M9</f>
        <v>0</v>
      </c>
      <c r="F125" s="43"/>
      <c r="G125" s="44"/>
    </row>
    <row r="126" spans="1:7" x14ac:dyDescent="0.35">
      <c r="A126" s="41" t="s">
        <v>95</v>
      </c>
      <c r="E126" s="12">
        <f>[4]Notes!N9</f>
        <v>0</v>
      </c>
      <c r="F126" s="43"/>
      <c r="G126" s="44"/>
    </row>
    <row r="127" spans="1:7" x14ac:dyDescent="0.35">
      <c r="A127" s="41" t="s">
        <v>96</v>
      </c>
      <c r="E127" s="12">
        <f>[4]Notes!O9-[4]Notes!M9</f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97</v>
      </c>
      <c r="E129" s="12">
        <f>Avail_Amt-SUM([4]Waterfall!C9:C25)</f>
        <v>4525493.3608835712</v>
      </c>
      <c r="F129" s="43"/>
      <c r="G129" s="44"/>
    </row>
    <row r="130" spans="1:7" x14ac:dyDescent="0.35">
      <c r="A130" s="41" t="s">
        <v>98</v>
      </c>
      <c r="E130" s="57">
        <f>[4]Waterfall!C23</f>
        <v>0</v>
      </c>
      <c r="F130" s="43"/>
      <c r="G130" s="44"/>
    </row>
    <row r="131" spans="1:7" x14ac:dyDescent="0.35">
      <c r="A131" s="26" t="s">
        <v>99</v>
      </c>
      <c r="E131" s="12">
        <f>E129-E130</f>
        <v>4525493.3608835712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100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101</v>
      </c>
      <c r="E135" s="57">
        <f>'[4]Credit Support'!B12</f>
        <v>0</v>
      </c>
      <c r="F135" s="43"/>
      <c r="G135" s="44"/>
    </row>
    <row r="136" spans="1:7" hidden="1" x14ac:dyDescent="0.35">
      <c r="A136" s="26" t="s">
        <v>102</v>
      </c>
      <c r="E136" s="61">
        <f>'[4]Credit Support'!B13</f>
        <v>0</v>
      </c>
      <c r="F136" s="43"/>
      <c r="G136" s="44"/>
    </row>
    <row r="137" spans="1:7" hidden="1" x14ac:dyDescent="0.35">
      <c r="A137" s="26" t="s">
        <v>103</v>
      </c>
      <c r="E137" s="12">
        <f>'[4]Credit Support'!B14</f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104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105</v>
      </c>
      <c r="E143" s="12">
        <f>'[4]Initial Data'!D15</f>
        <v>3255208.34</v>
      </c>
      <c r="F143" s="43"/>
      <c r="G143" s="44"/>
    </row>
    <row r="144" spans="1:7" x14ac:dyDescent="0.35">
      <c r="A144" s="26" t="s">
        <v>106</v>
      </c>
      <c r="E144" s="12">
        <f>'[4]Credit Support'!B8</f>
        <v>3255208.34</v>
      </c>
      <c r="G144" s="44"/>
    </row>
    <row r="145" spans="1:256" x14ac:dyDescent="0.35">
      <c r="A145" s="26" t="s">
        <v>107</v>
      </c>
      <c r="E145" s="57">
        <f>'[4]Credit Support'!B4</f>
        <v>3255208.34</v>
      </c>
      <c r="F145" s="43"/>
      <c r="G145" s="44"/>
    </row>
    <row r="146" spans="1:256" x14ac:dyDescent="0.35">
      <c r="A146" s="62" t="s">
        <v>108</v>
      </c>
      <c r="B146" s="62"/>
      <c r="C146" s="62"/>
      <c r="D146" s="62"/>
      <c r="E146" s="57">
        <f>'[4]Credit Support'!B5</f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109</v>
      </c>
      <c r="E147" s="12">
        <f>'[4]Credit Support'!B7</f>
        <v>3255208.34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110</v>
      </c>
      <c r="D149" s="63"/>
      <c r="E149" s="22">
        <f>E144</f>
        <v>3255208.34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111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112</v>
      </c>
      <c r="E153" s="64">
        <f>[4]Sources!B31</f>
        <v>3.6499491100000003E-2</v>
      </c>
      <c r="F153" s="43"/>
      <c r="G153" s="44"/>
    </row>
    <row r="154" spans="1:256" x14ac:dyDescent="0.35">
      <c r="A154" s="26" t="s">
        <v>113</v>
      </c>
      <c r="E154" s="60">
        <f>[4]Sources!B32</f>
        <v>44.790315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41</v>
      </c>
      <c r="E156" s="53" t="s">
        <v>40</v>
      </c>
      <c r="F156" s="43"/>
      <c r="G156" s="44"/>
    </row>
    <row r="157" spans="1:256" x14ac:dyDescent="0.35">
      <c r="A157" s="26" t="s">
        <v>114</v>
      </c>
      <c r="D157" s="12">
        <f>[4]Collateral!C19</f>
        <v>177965.05</v>
      </c>
      <c r="E157" s="2">
        <f>+[4]Collateral!B19</f>
        <v>8</v>
      </c>
      <c r="F157" s="65"/>
      <c r="G157" s="44"/>
    </row>
    <row r="158" spans="1:256" x14ac:dyDescent="0.35">
      <c r="A158" s="26" t="s">
        <v>115</v>
      </c>
      <c r="D158" s="61">
        <f>[4]Sources!B16</f>
        <v>56250</v>
      </c>
      <c r="F158" s="43"/>
      <c r="G158" s="44"/>
    </row>
    <row r="159" spans="1:256" x14ac:dyDescent="0.35">
      <c r="A159" s="2" t="s">
        <v>116</v>
      </c>
      <c r="D159" s="22">
        <f>+D157-D158</f>
        <v>121715.04999999999</v>
      </c>
    </row>
    <row r="160" spans="1:256" x14ac:dyDescent="0.35">
      <c r="A160" s="26" t="s">
        <v>117</v>
      </c>
      <c r="D160" s="12">
        <f>Coll_BegBal</f>
        <v>1396272094.9400001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118</v>
      </c>
      <c r="D162" s="66">
        <f>[4]Sources!B34</f>
        <v>0</v>
      </c>
      <c r="F162" s="65"/>
      <c r="G162" s="44"/>
    </row>
    <row r="163" spans="1:7" x14ac:dyDescent="0.35">
      <c r="A163" s="26" t="s">
        <v>119</v>
      </c>
      <c r="D163" s="66">
        <f>[4]Sources!B35</f>
        <v>0</v>
      </c>
      <c r="F163" s="65"/>
      <c r="G163" s="44"/>
    </row>
    <row r="164" spans="1:7" x14ac:dyDescent="0.35">
      <c r="A164" s="26" t="s">
        <v>120</v>
      </c>
      <c r="D164" s="66">
        <f>[4]Sources!B36</f>
        <v>8.8938310000000003E-4</v>
      </c>
      <c r="F164" s="65"/>
      <c r="G164" s="44"/>
    </row>
    <row r="165" spans="1:7" x14ac:dyDescent="0.35">
      <c r="A165" s="26" t="s">
        <v>121</v>
      </c>
      <c r="D165" s="66">
        <f>IF(D160&lt;=0,0,12*(D157-D158)/D160)</f>
        <v>1.0460572873246194E-3</v>
      </c>
      <c r="F165" s="43"/>
      <c r="G165" s="44"/>
    </row>
    <row r="166" spans="1:7" x14ac:dyDescent="0.35">
      <c r="A166" s="26" t="s">
        <v>122</v>
      </c>
      <c r="D166" s="64">
        <f>AVERAGE(D162:D165)</f>
        <v>4.8386009683115488E-4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123</v>
      </c>
      <c r="D168" s="22">
        <f>[4]Collateral!C20</f>
        <v>229158.11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124</v>
      </c>
      <c r="D170" s="53" t="s">
        <v>41</v>
      </c>
      <c r="E170" s="53" t="s">
        <v>40</v>
      </c>
      <c r="F170" s="67" t="s">
        <v>125</v>
      </c>
      <c r="G170" s="44"/>
    </row>
    <row r="171" spans="1:7" x14ac:dyDescent="0.35">
      <c r="A171" s="41" t="s">
        <v>126</v>
      </c>
      <c r="D171" s="57">
        <f>[4]Collateral!C15</f>
        <v>3052683.06</v>
      </c>
      <c r="E171" s="68">
        <f>[4]Collateral!B15</f>
        <v>145</v>
      </c>
      <c r="F171" s="66">
        <f>[4]Collateral!D15</f>
        <v>2.2675631435453911E-3</v>
      </c>
      <c r="G171" s="44"/>
    </row>
    <row r="172" spans="1:7" x14ac:dyDescent="0.35">
      <c r="A172" s="41" t="s">
        <v>127</v>
      </c>
      <c r="D172" s="57">
        <f>[4]Collateral!C16</f>
        <v>401935.61</v>
      </c>
      <c r="E172" s="68">
        <f>[4]Collateral!B16</f>
        <v>21</v>
      </c>
      <c r="F172" s="66">
        <f>[4]Collateral!D16</f>
        <v>2.9856174303087796E-4</v>
      </c>
      <c r="G172" s="44"/>
    </row>
    <row r="173" spans="1:7" x14ac:dyDescent="0.35">
      <c r="A173" s="41" t="s">
        <v>128</v>
      </c>
      <c r="D173" s="19">
        <f>[4]Collateral!C17</f>
        <v>0</v>
      </c>
      <c r="E173" s="69">
        <f>[4]Collateral!B17</f>
        <v>0</v>
      </c>
      <c r="F173" s="66">
        <f>[4]Collateral!D17</f>
        <v>0</v>
      </c>
      <c r="G173" s="44"/>
    </row>
    <row r="174" spans="1:7" x14ac:dyDescent="0.35">
      <c r="A174" s="41" t="s">
        <v>129</v>
      </c>
      <c r="D174" s="70">
        <f>+[4]Collateral!C18</f>
        <v>0</v>
      </c>
      <c r="E174" s="71">
        <f>+[4]Collateral!B18</f>
        <v>0</v>
      </c>
      <c r="F174" s="72">
        <f>[4]Collateral!D18</f>
        <v>0</v>
      </c>
      <c r="G174" s="44"/>
    </row>
    <row r="175" spans="1:7" x14ac:dyDescent="0.35">
      <c r="A175" s="26" t="s">
        <v>130</v>
      </c>
      <c r="D175" s="73">
        <f>SUM(D171:D174)</f>
        <v>3454618.67</v>
      </c>
      <c r="E175" s="68">
        <f>SUM(E171:E174)</f>
        <v>166</v>
      </c>
      <c r="F175" s="74">
        <f>SUM(F171:F174)</f>
        <v>2.5661248865762689E-3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131</v>
      </c>
      <c r="D177" s="66"/>
      <c r="E177" s="66"/>
      <c r="F177" s="65"/>
      <c r="G177" s="44"/>
    </row>
    <row r="178" spans="1:7" x14ac:dyDescent="0.35">
      <c r="A178" s="26" t="s">
        <v>132</v>
      </c>
      <c r="D178" s="66">
        <f>[4]Collateral!C22</f>
        <v>0</v>
      </c>
      <c r="E178" s="66">
        <f>[4]Collateral!B22</f>
        <v>0</v>
      </c>
      <c r="F178" s="65"/>
      <c r="G178" s="44"/>
    </row>
    <row r="179" spans="1:7" x14ac:dyDescent="0.35">
      <c r="A179" s="26" t="s">
        <v>133</v>
      </c>
      <c r="D179" s="66">
        <f>[4]Collateral!C23</f>
        <v>0</v>
      </c>
      <c r="E179" s="66">
        <f>[4]Collateral!B23</f>
        <v>0</v>
      </c>
      <c r="F179" s="65"/>
      <c r="G179" s="44"/>
    </row>
    <row r="180" spans="1:7" x14ac:dyDescent="0.35">
      <c r="A180" s="26" t="s">
        <v>134</v>
      </c>
      <c r="D180" s="66">
        <f>[4]Collateral!C24</f>
        <v>2.2087300000000001E-5</v>
      </c>
      <c r="E180" s="66">
        <f>[4]Collateral!B24</f>
        <v>1.32022E-5</v>
      </c>
      <c r="F180" s="65"/>
      <c r="G180" s="44"/>
    </row>
    <row r="181" spans="1:7" x14ac:dyDescent="0.35">
      <c r="A181" s="26" t="s">
        <v>135</v>
      </c>
      <c r="D181" s="66">
        <f>IF(Coll_EndBal&lt;=0,0,SUM(D172:D174)/Coll_EndBal)</f>
        <v>2.9856174303087796E-4</v>
      </c>
      <c r="E181" s="66">
        <f>IF(D53&lt;=0,0,SUM('Nov23'!E172:E174)/D53)</f>
        <v>2.8048617603846667E-4</v>
      </c>
      <c r="F181" s="43"/>
      <c r="G181" s="44"/>
    </row>
    <row r="182" spans="1:7" x14ac:dyDescent="0.35">
      <c r="A182" s="26" t="s">
        <v>136</v>
      </c>
      <c r="D182" s="66">
        <f>AVERAGE(D178:D181)</f>
        <v>8.016226075771949E-5</v>
      </c>
      <c r="E182" s="66">
        <f>AVERAGE(E178:E181)</f>
        <v>7.3422094009616663E-5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137</v>
      </c>
      <c r="D184" s="75">
        <f>+[4]Collateral!C27</f>
        <v>424945.36</v>
      </c>
      <c r="F184" s="43"/>
      <c r="G184" s="44"/>
    </row>
    <row r="185" spans="1:7" x14ac:dyDescent="0.35">
      <c r="A185" s="2" t="s">
        <v>138</v>
      </c>
      <c r="D185" s="63">
        <f>IF(Coll_EndBal&lt;=0,0,[4]Collateral!C27/Coll_EndBal)</f>
        <v>3.1565361271295155E-4</v>
      </c>
      <c r="F185" s="43"/>
      <c r="G185" s="44"/>
    </row>
    <row r="186" spans="1:7" x14ac:dyDescent="0.35">
      <c r="A186" s="2" t="s">
        <v>139</v>
      </c>
      <c r="D186" s="66">
        <f>+'[4]Initial Data'!D49</f>
        <v>4.9000000000000002E-2</v>
      </c>
      <c r="F186" s="43"/>
      <c r="G186" s="44"/>
    </row>
    <row r="187" spans="1:7" x14ac:dyDescent="0.35">
      <c r="A187" s="2" t="s">
        <v>140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141</v>
      </c>
      <c r="D189" s="77">
        <f>[4]Collateral!C32</f>
        <v>3305311.31</v>
      </c>
      <c r="F189" s="43"/>
      <c r="G189" s="44"/>
    </row>
    <row r="190" spans="1:7" x14ac:dyDescent="0.35">
      <c r="A190" s="2" t="s">
        <v>142</v>
      </c>
      <c r="B190" s="78"/>
      <c r="C190" s="78"/>
      <c r="D190" s="79">
        <f>[4]Collateral!B32</f>
        <v>134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143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144</v>
      </c>
      <c r="E195" s="10"/>
      <c r="F195" s="43"/>
      <c r="G195" s="44"/>
    </row>
    <row r="196" spans="1:7" x14ac:dyDescent="0.35">
      <c r="A196" s="26" t="s">
        <v>145</v>
      </c>
      <c r="E196" s="10"/>
      <c r="F196" s="43"/>
      <c r="G196" s="44"/>
    </row>
    <row r="197" spans="1:7" x14ac:dyDescent="0.35">
      <c r="A197" s="26" t="s">
        <v>146</v>
      </c>
      <c r="E197" s="80"/>
      <c r="F197" s="43"/>
      <c r="G197" s="44"/>
    </row>
    <row r="198" spans="1:7" x14ac:dyDescent="0.35">
      <c r="A198" s="26" t="s">
        <v>147</v>
      </c>
      <c r="E198" s="80" t="str">
        <f>VLOOKUP("STMNT_TO_NOTEHLD_2",'[4]Current Data'!B:F,2,FALSE)</f>
        <v>NO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148</v>
      </c>
      <c r="E200" s="10"/>
      <c r="F200" s="43"/>
      <c r="G200" s="44"/>
    </row>
    <row r="201" spans="1:7" x14ac:dyDescent="0.35">
      <c r="A201" s="26" t="s">
        <v>149</v>
      </c>
      <c r="E201" s="80" t="str">
        <f>VLOOKUP("STMNT_TO_NOTEHLD_4",'[4]Current Data'!B:F,2,FALSE)</f>
        <v>NO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150</v>
      </c>
      <c r="E203" s="10"/>
      <c r="F203" s="43"/>
      <c r="G203" s="44"/>
    </row>
    <row r="204" spans="1:7" x14ac:dyDescent="0.35">
      <c r="A204" s="26" t="s">
        <v>151</v>
      </c>
      <c r="E204" s="80" t="str">
        <f>VLOOKUP("STMNT_TO_NOTEHLD_5",'[4]Current Data'!B:F,2,FALSE)</f>
        <v>NO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152</v>
      </c>
      <c r="E206" s="10"/>
      <c r="G206" s="44"/>
    </row>
    <row r="207" spans="1:7" x14ac:dyDescent="0.35">
      <c r="A207" s="26" t="s">
        <v>153</v>
      </c>
      <c r="E207" s="80" t="str">
        <f>VLOOKUP("STMNT_TO_NOTEHLD_6",'[4]Current Data'!B:F,2,FALSE)</f>
        <v>NO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23-B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CF4DC-98AD-4CA7-8BB2-EC40B999DA2E}">
  <sheetPr>
    <pageSetUpPr fitToPage="1"/>
  </sheetPr>
  <dimension ref="A1:IV228"/>
  <sheetViews>
    <sheetView showRuler="0" zoomScale="80" zoomScaleNormal="80" zoomScaleSheetLayoutView="90" workbookViewId="0">
      <selection activeCell="E17" sqref="E17"/>
    </sheetView>
  </sheetViews>
  <sheetFormatPr defaultColWidth="9.26953125" defaultRowHeight="17.5" x14ac:dyDescent="0.35"/>
  <cols>
    <col min="1" max="1" width="43.453125" style="2" customWidth="1"/>
    <col min="2" max="2" width="23.7265625" style="2" customWidth="1"/>
    <col min="3" max="3" width="26.7265625" style="2" customWidth="1"/>
    <col min="4" max="4" width="24.7265625" style="2" customWidth="1"/>
    <col min="5" max="5" width="39.26953125" style="2" bestFit="1" customWidth="1"/>
    <col min="6" max="6" width="23.7265625" style="3" customWidth="1"/>
    <col min="7" max="7" width="34.54296875" style="4" customWidth="1"/>
    <col min="8" max="9" width="34.54296875" style="2" customWidth="1"/>
    <col min="10" max="10" width="9.26953125" style="2"/>
    <col min="11" max="11" width="9.54296875" style="2" bestFit="1" customWidth="1"/>
    <col min="12" max="16384" width="9.26953125" style="2"/>
  </cols>
  <sheetData>
    <row r="1" spans="1:13" ht="18" x14ac:dyDescent="0.35">
      <c r="A1" s="1" t="s">
        <v>159</v>
      </c>
    </row>
    <row r="2" spans="1:13" ht="15.75" customHeight="1" x14ac:dyDescent="0.45">
      <c r="C2" s="5"/>
    </row>
    <row r="3" spans="1:13" ht="15.75" customHeight="1" x14ac:dyDescent="0.45">
      <c r="A3" s="2" t="s">
        <v>0</v>
      </c>
      <c r="B3" s="6">
        <v>45230</v>
      </c>
      <c r="C3" s="7" t="s">
        <v>1</v>
      </c>
      <c r="D3" s="2">
        <v>20</v>
      </c>
      <c r="E3" s="2" t="s">
        <v>2</v>
      </c>
      <c r="F3" s="8">
        <v>45224</v>
      </c>
      <c r="G3" s="2"/>
    </row>
    <row r="4" spans="1:13" ht="15.75" customHeight="1" x14ac:dyDescent="0.45">
      <c r="A4" s="2" t="s">
        <v>3</v>
      </c>
      <c r="B4" s="6">
        <v>45245</v>
      </c>
      <c r="C4" s="7" t="s">
        <v>4</v>
      </c>
      <c r="D4" s="9">
        <v>21</v>
      </c>
      <c r="E4" s="2" t="s">
        <v>5</v>
      </c>
      <c r="F4" s="8">
        <v>45230</v>
      </c>
      <c r="G4" s="2"/>
    </row>
    <row r="5" spans="1:13" ht="17.25" customHeight="1" x14ac:dyDescent="0.45">
      <c r="C5" s="5"/>
      <c r="E5" s="2" t="s">
        <v>6</v>
      </c>
      <c r="F5" s="8">
        <v>45224</v>
      </c>
      <c r="G5" s="2"/>
    </row>
    <row r="6" spans="1:13" ht="15.75" customHeight="1" x14ac:dyDescent="0.45">
      <c r="C6" s="5"/>
      <c r="E6" s="2" t="s">
        <v>7</v>
      </c>
      <c r="F6" s="8">
        <v>45245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8</v>
      </c>
      <c r="C9" s="14" t="s">
        <v>9</v>
      </c>
      <c r="D9" s="14" t="s">
        <v>10</v>
      </c>
      <c r="E9" s="14" t="s">
        <v>11</v>
      </c>
      <c r="F9" s="15" t="s">
        <v>12</v>
      </c>
    </row>
    <row r="10" spans="1:13" x14ac:dyDescent="0.35">
      <c r="A10" s="2" t="s">
        <v>13</v>
      </c>
      <c r="B10" s="16"/>
      <c r="C10" s="17">
        <v>1449675307.3599999</v>
      </c>
      <c r="D10" s="18">
        <v>1449675307.3599999</v>
      </c>
      <c r="E10" s="19">
        <v>1396272094.9400001</v>
      </c>
      <c r="F10" s="20">
        <v>1.0723369680684038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14</v>
      </c>
      <c r="B11" s="16"/>
      <c r="C11" s="23">
        <v>147591973</v>
      </c>
      <c r="D11" s="18">
        <v>147591973</v>
      </c>
      <c r="E11" s="19">
        <v>139479250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15</v>
      </c>
      <c r="B12" s="16"/>
      <c r="C12" s="24">
        <v>1302083334.3599999</v>
      </c>
      <c r="D12" s="18">
        <v>1302083334.3599999</v>
      </c>
      <c r="E12" s="19">
        <v>1256792844.9400001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16</v>
      </c>
      <c r="B13" s="10"/>
      <c r="C13" s="24">
        <v>1302083334.3599999</v>
      </c>
      <c r="D13" s="18">
        <v>1302083334.3599999</v>
      </c>
      <c r="E13" s="19">
        <v>1256792844.9400001</v>
      </c>
      <c r="F13" s="20">
        <v>0.96521690415286587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17</v>
      </c>
      <c r="B14" s="27">
        <v>5.7090000000000002E-2</v>
      </c>
      <c r="C14" s="23">
        <v>352000000</v>
      </c>
      <c r="D14" s="18">
        <v>352000000</v>
      </c>
      <c r="E14" s="19">
        <v>306709510.58000016</v>
      </c>
      <c r="F14" s="20">
        <v>0.87133383687500043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18</v>
      </c>
      <c r="B15" s="27">
        <v>5.9499999999999997E-2</v>
      </c>
      <c r="C15" s="23">
        <v>219500000</v>
      </c>
      <c r="D15" s="18">
        <v>219500000</v>
      </c>
      <c r="E15" s="19">
        <v>219500000</v>
      </c>
      <c r="F15" s="20">
        <v>1</v>
      </c>
      <c r="G15" s="21"/>
      <c r="I15" s="22"/>
      <c r="J15" s="22"/>
      <c r="K15" s="22"/>
      <c r="L15" s="22"/>
      <c r="M15" s="22"/>
    </row>
    <row r="16" spans="1:13" x14ac:dyDescent="0.35">
      <c r="A16" s="26" t="s">
        <v>19</v>
      </c>
      <c r="B16" s="27">
        <v>5.8806200000000003E-2</v>
      </c>
      <c r="C16" s="23">
        <v>219500000</v>
      </c>
      <c r="D16" s="18">
        <v>219500000</v>
      </c>
      <c r="E16" s="19">
        <v>219500000</v>
      </c>
      <c r="F16" s="20">
        <v>1</v>
      </c>
      <c r="G16" s="21"/>
      <c r="I16" s="22"/>
      <c r="J16" s="22"/>
      <c r="K16" s="22"/>
      <c r="L16" s="22"/>
      <c r="M16" s="22"/>
    </row>
    <row r="17" spans="1:13" x14ac:dyDescent="0.35">
      <c r="A17" s="26" t="s">
        <v>20</v>
      </c>
      <c r="B17" s="27">
        <v>5.9299999999999999E-2</v>
      </c>
      <c r="C17" s="23">
        <v>376000000</v>
      </c>
      <c r="D17" s="18">
        <v>376000000</v>
      </c>
      <c r="E17" s="19">
        <v>376000000</v>
      </c>
      <c r="F17" s="20"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21</v>
      </c>
      <c r="B18" s="27">
        <v>5.96E-2</v>
      </c>
      <c r="C18" s="23">
        <v>83000000</v>
      </c>
      <c r="D18" s="18">
        <v>83000000</v>
      </c>
      <c r="E18" s="19">
        <v>83000000</v>
      </c>
      <c r="F18" s="20">
        <v>1</v>
      </c>
      <c r="I18" s="22"/>
      <c r="J18" s="22"/>
      <c r="K18" s="22"/>
      <c r="L18" s="22"/>
      <c r="M18" s="22"/>
    </row>
    <row r="19" spans="1:13" x14ac:dyDescent="0.35">
      <c r="A19" s="26" t="s">
        <v>22</v>
      </c>
      <c r="B19" s="27">
        <v>0</v>
      </c>
      <c r="C19" s="17">
        <v>52083334.359999999</v>
      </c>
      <c r="D19" s="18">
        <v>52083334.359999999</v>
      </c>
      <c r="E19" s="19">
        <v>52083334.359999999</v>
      </c>
      <c r="F19" s="20"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23</v>
      </c>
      <c r="C22" s="32" t="s">
        <v>24</v>
      </c>
      <c r="D22" s="33" t="s">
        <v>25</v>
      </c>
      <c r="E22" s="33" t="s">
        <v>26</v>
      </c>
      <c r="F22" s="31"/>
    </row>
    <row r="23" spans="1:13" x14ac:dyDescent="0.35">
      <c r="A23" s="26" t="s">
        <v>17</v>
      </c>
      <c r="B23" s="18">
        <v>45290489.419999838</v>
      </c>
      <c r="C23" s="18">
        <v>1172248</v>
      </c>
      <c r="D23" s="34">
        <v>128.66616312499954</v>
      </c>
      <c r="E23" s="35">
        <v>3.3302499999999999</v>
      </c>
      <c r="F23" s="31"/>
    </row>
    <row r="24" spans="1:13" x14ac:dyDescent="0.35">
      <c r="A24" s="26" t="s">
        <v>18</v>
      </c>
      <c r="B24" s="18">
        <v>0</v>
      </c>
      <c r="C24" s="18">
        <v>725569.44</v>
      </c>
      <c r="D24" s="34">
        <v>0</v>
      </c>
      <c r="E24" s="35">
        <v>3.305555535307517</v>
      </c>
      <c r="F24" s="31"/>
    </row>
    <row r="25" spans="1:13" x14ac:dyDescent="0.35">
      <c r="A25" s="26" t="s">
        <v>19</v>
      </c>
      <c r="B25" s="18">
        <v>0</v>
      </c>
      <c r="C25" s="18">
        <v>752964.39</v>
      </c>
      <c r="D25" s="34">
        <v>0</v>
      </c>
      <c r="E25" s="35">
        <v>3.4303616856492027</v>
      </c>
      <c r="F25" s="31"/>
    </row>
    <row r="26" spans="1:13" x14ac:dyDescent="0.35">
      <c r="A26" s="26" t="s">
        <v>20</v>
      </c>
      <c r="B26" s="18">
        <v>0</v>
      </c>
      <c r="C26" s="18">
        <v>1238711.1100000001</v>
      </c>
      <c r="D26" s="34">
        <v>0</v>
      </c>
      <c r="E26" s="35">
        <v>3.2944444414893619</v>
      </c>
      <c r="F26" s="31"/>
    </row>
    <row r="27" spans="1:13" x14ac:dyDescent="0.35">
      <c r="A27" s="26" t="s">
        <v>21</v>
      </c>
      <c r="B27" s="18">
        <v>0</v>
      </c>
      <c r="C27" s="18">
        <v>274822.21999999997</v>
      </c>
      <c r="D27" s="34">
        <v>0</v>
      </c>
      <c r="E27" s="35">
        <v>3.311111084337349</v>
      </c>
      <c r="F27" s="31"/>
    </row>
    <row r="28" spans="1:13" x14ac:dyDescent="0.35">
      <c r="A28" s="26" t="s">
        <v>22</v>
      </c>
      <c r="B28" s="18">
        <v>0</v>
      </c>
      <c r="C28" s="18">
        <v>0</v>
      </c>
      <c r="D28" s="34">
        <v>0</v>
      </c>
      <c r="E28" s="35">
        <v>0</v>
      </c>
      <c r="F28" s="31"/>
    </row>
    <row r="29" spans="1:13" ht="18" thickBot="1" x14ac:dyDescent="0.4">
      <c r="A29" s="2" t="s">
        <v>27</v>
      </c>
      <c r="B29" s="36">
        <v>45290489.419999838</v>
      </c>
      <c r="C29" s="36">
        <v>4164315.16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28</v>
      </c>
      <c r="E32" s="40"/>
    </row>
    <row r="33" spans="1:7" x14ac:dyDescent="0.35">
      <c r="E33" s="40"/>
    </row>
    <row r="34" spans="1:7" x14ac:dyDescent="0.35">
      <c r="A34" s="26" t="s">
        <v>29</v>
      </c>
    </row>
    <row r="35" spans="1:7" x14ac:dyDescent="0.35">
      <c r="A35" s="41" t="s">
        <v>30</v>
      </c>
      <c r="E35" s="42">
        <v>4409958.8499999996</v>
      </c>
      <c r="F35" s="43"/>
      <c r="G35" s="44"/>
    </row>
    <row r="36" spans="1:7" x14ac:dyDescent="0.35">
      <c r="A36" s="41" t="s">
        <v>31</v>
      </c>
      <c r="E36" s="45">
        <v>0</v>
      </c>
      <c r="F36" s="43"/>
      <c r="G36" s="44"/>
    </row>
    <row r="37" spans="1:7" x14ac:dyDescent="0.35">
      <c r="A37" s="26" t="s">
        <v>32</v>
      </c>
      <c r="E37" s="42">
        <v>4409958.8499999996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33</v>
      </c>
      <c r="E39" s="46"/>
      <c r="F39" s="43"/>
      <c r="G39" s="44"/>
    </row>
    <row r="40" spans="1:7" x14ac:dyDescent="0.35">
      <c r="A40" s="41" t="s">
        <v>34</v>
      </c>
      <c r="E40" s="42">
        <v>53295769.359999999</v>
      </c>
      <c r="F40" s="43"/>
      <c r="G40" s="44"/>
    </row>
    <row r="41" spans="1:7" x14ac:dyDescent="0.35">
      <c r="A41" s="41" t="s">
        <v>35</v>
      </c>
      <c r="E41" s="45">
        <v>0</v>
      </c>
      <c r="F41" s="43"/>
      <c r="G41" s="44"/>
    </row>
    <row r="42" spans="1:7" x14ac:dyDescent="0.35">
      <c r="A42" s="26" t="s">
        <v>36</v>
      </c>
      <c r="E42" s="42">
        <v>53295769.359999999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37</v>
      </c>
      <c r="E44" s="42">
        <v>0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38</v>
      </c>
      <c r="E47" s="49">
        <v>57705728.210000001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39</v>
      </c>
      <c r="D49" s="51"/>
      <c r="E49" s="52"/>
      <c r="F49" s="43"/>
      <c r="G49" s="44"/>
    </row>
    <row r="50" spans="1:7" x14ac:dyDescent="0.35">
      <c r="D50" s="53" t="s">
        <v>40</v>
      </c>
      <c r="E50" s="53" t="s">
        <v>41</v>
      </c>
      <c r="F50" s="43"/>
      <c r="G50" s="44"/>
    </row>
    <row r="51" spans="1:7" x14ac:dyDescent="0.35">
      <c r="A51" s="26" t="s">
        <v>42</v>
      </c>
      <c r="D51" s="54">
        <v>76596</v>
      </c>
      <c r="E51" s="48">
        <v>1302083334.3599999</v>
      </c>
      <c r="F51" s="43"/>
      <c r="G51" s="44"/>
    </row>
    <row r="52" spans="1:7" x14ac:dyDescent="0.35">
      <c r="A52" s="26" t="s">
        <v>43</v>
      </c>
      <c r="D52" s="10"/>
      <c r="E52" s="45">
        <v>45290489.419999838</v>
      </c>
      <c r="F52" s="43"/>
      <c r="G52" s="44"/>
    </row>
    <row r="53" spans="1:7" x14ac:dyDescent="0.35">
      <c r="A53" s="26"/>
      <c r="D53" s="55">
        <v>75745</v>
      </c>
      <c r="E53" s="56">
        <v>1256792844.9400001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44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38</v>
      </c>
      <c r="E57" s="57">
        <v>57705728.210000001</v>
      </c>
      <c r="F57" s="43"/>
      <c r="G57" s="44"/>
    </row>
    <row r="58" spans="1:7" x14ac:dyDescent="0.35">
      <c r="A58" s="26" t="s">
        <v>45</v>
      </c>
      <c r="E58" s="57">
        <v>0</v>
      </c>
      <c r="F58" s="43"/>
      <c r="G58" s="44"/>
    </row>
    <row r="59" spans="1:7" x14ac:dyDescent="0.35">
      <c r="A59" s="26" t="s">
        <v>46</v>
      </c>
      <c r="E59" s="12">
        <v>57705728.210000001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47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48</v>
      </c>
      <c r="F63" s="43"/>
      <c r="G63" s="44"/>
    </row>
    <row r="64" spans="1:7" x14ac:dyDescent="0.35">
      <c r="A64" s="41" t="s">
        <v>49</v>
      </c>
      <c r="E64" s="57">
        <v>1208062.76</v>
      </c>
      <c r="F64" s="43"/>
      <c r="G64" s="44"/>
    </row>
    <row r="65" spans="1:7" x14ac:dyDescent="0.35">
      <c r="A65" s="41" t="s">
        <v>50</v>
      </c>
      <c r="E65" s="57">
        <v>1208062.76</v>
      </c>
      <c r="F65" s="43"/>
      <c r="G65" s="44"/>
    </row>
    <row r="66" spans="1:7" x14ac:dyDescent="0.35">
      <c r="A66" s="41" t="s">
        <v>51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52</v>
      </c>
      <c r="F68" s="43"/>
      <c r="G68" s="44"/>
    </row>
    <row r="69" spans="1:7" x14ac:dyDescent="0.35">
      <c r="A69" s="41" t="s">
        <v>53</v>
      </c>
      <c r="F69" s="43"/>
      <c r="G69" s="44"/>
    </row>
    <row r="70" spans="1:7" x14ac:dyDescent="0.35">
      <c r="A70" s="58" t="s">
        <v>54</v>
      </c>
      <c r="E70" s="57">
        <v>0</v>
      </c>
      <c r="F70" s="43"/>
      <c r="G70" s="44"/>
    </row>
    <row r="71" spans="1:7" x14ac:dyDescent="0.35">
      <c r="A71" s="58" t="s">
        <v>55</v>
      </c>
      <c r="E71" s="57">
        <v>0</v>
      </c>
      <c r="F71" s="43"/>
      <c r="G71" s="44"/>
    </row>
    <row r="72" spans="1:7" x14ac:dyDescent="0.35">
      <c r="A72" s="58" t="s">
        <v>56</v>
      </c>
      <c r="E72" s="57">
        <v>1172248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57</v>
      </c>
      <c r="E74" s="57">
        <v>1172248</v>
      </c>
      <c r="F74" s="43"/>
      <c r="G74" s="44"/>
    </row>
    <row r="75" spans="1:7" x14ac:dyDescent="0.35">
      <c r="A75" s="58" t="s">
        <v>58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59</v>
      </c>
      <c r="F77" s="43"/>
      <c r="G77" s="44"/>
    </row>
    <row r="78" spans="1:7" x14ac:dyDescent="0.35">
      <c r="A78" s="58" t="s">
        <v>60</v>
      </c>
      <c r="E78" s="57">
        <v>0</v>
      </c>
      <c r="F78" s="43"/>
      <c r="G78" s="44"/>
    </row>
    <row r="79" spans="1:7" x14ac:dyDescent="0.35">
      <c r="A79" s="58" t="s">
        <v>61</v>
      </c>
      <c r="E79" s="57">
        <v>0</v>
      </c>
      <c r="F79" s="43"/>
      <c r="G79" s="44"/>
    </row>
    <row r="80" spans="1:7" x14ac:dyDescent="0.35">
      <c r="A80" s="58" t="s">
        <v>62</v>
      </c>
      <c r="E80" s="57">
        <v>725569.44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63</v>
      </c>
      <c r="E82" s="57">
        <v>725569.44</v>
      </c>
      <c r="F82" s="43"/>
      <c r="G82" s="44"/>
    </row>
    <row r="83" spans="1:7" x14ac:dyDescent="0.35">
      <c r="A83" s="58" t="s">
        <v>64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65</v>
      </c>
      <c r="F85" s="43"/>
      <c r="G85" s="44"/>
    </row>
    <row r="86" spans="1:7" x14ac:dyDescent="0.35">
      <c r="A86" s="58" t="s">
        <v>66</v>
      </c>
      <c r="E86" s="57">
        <v>0</v>
      </c>
      <c r="F86" s="43"/>
      <c r="G86" s="44"/>
    </row>
    <row r="87" spans="1:7" x14ac:dyDescent="0.35">
      <c r="A87" s="58" t="s">
        <v>67</v>
      </c>
      <c r="E87" s="57">
        <v>0</v>
      </c>
      <c r="F87" s="43"/>
      <c r="G87" s="44"/>
    </row>
    <row r="88" spans="1:7" x14ac:dyDescent="0.35">
      <c r="A88" s="58" t="s">
        <v>68</v>
      </c>
      <c r="E88" s="57">
        <v>752964.39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69</v>
      </c>
      <c r="E90" s="57">
        <v>752964.39</v>
      </c>
      <c r="F90" s="43"/>
      <c r="G90" s="44"/>
    </row>
    <row r="91" spans="1:7" x14ac:dyDescent="0.35">
      <c r="A91" s="58" t="s">
        <v>70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71</v>
      </c>
      <c r="F93" s="43"/>
      <c r="G93" s="44"/>
    </row>
    <row r="94" spans="1:7" x14ac:dyDescent="0.35">
      <c r="A94" s="58" t="s">
        <v>72</v>
      </c>
      <c r="E94" s="57">
        <v>0</v>
      </c>
      <c r="F94" s="43"/>
      <c r="G94" s="44"/>
    </row>
    <row r="95" spans="1:7" x14ac:dyDescent="0.35">
      <c r="A95" s="58" t="s">
        <v>73</v>
      </c>
      <c r="E95" s="57">
        <v>0</v>
      </c>
      <c r="F95" s="43"/>
      <c r="G95" s="44"/>
    </row>
    <row r="96" spans="1:7" x14ac:dyDescent="0.35">
      <c r="A96" s="58" t="s">
        <v>74</v>
      </c>
      <c r="E96" s="57">
        <v>1238711.1100000001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75</v>
      </c>
      <c r="E98" s="57">
        <v>1238711.1100000001</v>
      </c>
      <c r="F98" s="43"/>
      <c r="G98" s="44"/>
    </row>
    <row r="99" spans="1:7" x14ac:dyDescent="0.35">
      <c r="A99" s="58" t="s">
        <v>76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77</v>
      </c>
      <c r="F101" s="43"/>
      <c r="G101" s="44"/>
    </row>
    <row r="102" spans="1:7" x14ac:dyDescent="0.35">
      <c r="A102" s="58" t="s">
        <v>78</v>
      </c>
      <c r="E102" s="57">
        <v>0</v>
      </c>
      <c r="F102" s="43"/>
      <c r="G102" s="44"/>
    </row>
    <row r="103" spans="1:7" x14ac:dyDescent="0.35">
      <c r="A103" s="58" t="s">
        <v>79</v>
      </c>
      <c r="E103" s="57">
        <v>0</v>
      </c>
      <c r="F103" s="43"/>
      <c r="G103" s="44"/>
    </row>
    <row r="104" spans="1:7" x14ac:dyDescent="0.35">
      <c r="A104" s="58" t="s">
        <v>80</v>
      </c>
      <c r="E104" s="57">
        <v>274822.21999999997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81</v>
      </c>
      <c r="E106" s="57">
        <v>274822.21999999997</v>
      </c>
      <c r="F106" s="43"/>
      <c r="G106" s="44"/>
    </row>
    <row r="107" spans="1:7" x14ac:dyDescent="0.35">
      <c r="A107" s="58" t="s">
        <v>82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83</v>
      </c>
      <c r="F109" s="43"/>
      <c r="G109" s="44"/>
    </row>
    <row r="110" spans="1:7" x14ac:dyDescent="0.35">
      <c r="A110" s="58" t="s">
        <v>84</v>
      </c>
      <c r="E110" s="12">
        <v>4164315.16</v>
      </c>
      <c r="F110" s="43"/>
      <c r="G110" s="44"/>
    </row>
    <row r="111" spans="1:7" x14ac:dyDescent="0.35">
      <c r="A111" s="58" t="s">
        <v>85</v>
      </c>
      <c r="E111" s="12">
        <v>4164315.16</v>
      </c>
      <c r="F111" s="43"/>
      <c r="G111" s="44"/>
    </row>
    <row r="112" spans="1:7" x14ac:dyDescent="0.35">
      <c r="A112" s="58" t="s">
        <v>86</v>
      </c>
      <c r="E112" s="12">
        <v>0</v>
      </c>
      <c r="F112" s="43"/>
      <c r="G112" s="44"/>
    </row>
    <row r="113" spans="1:7" x14ac:dyDescent="0.35">
      <c r="A113" s="58" t="s">
        <v>87</v>
      </c>
      <c r="E113" s="12"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88</v>
      </c>
      <c r="E115" s="22">
        <v>52333350.293866664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89</v>
      </c>
      <c r="E117" s="59">
        <v>45290489.419999838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90</v>
      </c>
      <c r="E119" s="57">
        <v>0</v>
      </c>
      <c r="F119" s="43"/>
      <c r="G119" s="44"/>
    </row>
    <row r="120" spans="1:7" x14ac:dyDescent="0.35">
      <c r="A120" s="41" t="s">
        <v>91</v>
      </c>
      <c r="E120" s="60">
        <v>45290489.419999838</v>
      </c>
      <c r="F120" s="43"/>
      <c r="G120" s="44"/>
    </row>
    <row r="121" spans="1:7" x14ac:dyDescent="0.35">
      <c r="A121" s="41" t="s">
        <v>92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93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94</v>
      </c>
      <c r="E125" s="57">
        <v>0</v>
      </c>
      <c r="F125" s="43"/>
      <c r="G125" s="44"/>
    </row>
    <row r="126" spans="1:7" x14ac:dyDescent="0.35">
      <c r="A126" s="41" t="s">
        <v>95</v>
      </c>
      <c r="E126" s="12">
        <v>0</v>
      </c>
      <c r="F126" s="43"/>
      <c r="G126" s="44"/>
    </row>
    <row r="127" spans="1:7" x14ac:dyDescent="0.35">
      <c r="A127" s="41" t="s">
        <v>96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97</v>
      </c>
      <c r="E129" s="12">
        <v>7042860.8738668337</v>
      </c>
      <c r="F129" s="43"/>
      <c r="G129" s="44"/>
    </row>
    <row r="130" spans="1:7" x14ac:dyDescent="0.35">
      <c r="A130" s="41" t="s">
        <v>98</v>
      </c>
      <c r="E130" s="57">
        <v>0</v>
      </c>
      <c r="F130" s="43"/>
      <c r="G130" s="44"/>
    </row>
    <row r="131" spans="1:7" x14ac:dyDescent="0.35">
      <c r="A131" s="26" t="s">
        <v>99</v>
      </c>
      <c r="E131" s="12">
        <v>7042860.8738668337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100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101</v>
      </c>
      <c r="E135" s="57">
        <v>0</v>
      </c>
      <c r="F135" s="43"/>
      <c r="G135" s="44"/>
    </row>
    <row r="136" spans="1:7" hidden="1" x14ac:dyDescent="0.35">
      <c r="A136" s="26" t="s">
        <v>102</v>
      </c>
      <c r="E136" s="61">
        <v>0</v>
      </c>
      <c r="F136" s="43"/>
      <c r="G136" s="44"/>
    </row>
    <row r="137" spans="1:7" hidden="1" x14ac:dyDescent="0.35">
      <c r="A137" s="26" t="s">
        <v>103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104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105</v>
      </c>
      <c r="E143" s="12">
        <v>3255208.34</v>
      </c>
      <c r="F143" s="43"/>
      <c r="G143" s="44"/>
    </row>
    <row r="144" spans="1:7" x14ac:dyDescent="0.35">
      <c r="A144" s="26" t="s">
        <v>106</v>
      </c>
      <c r="E144" s="12">
        <v>3255208.34</v>
      </c>
      <c r="G144" s="44"/>
    </row>
    <row r="145" spans="1:256" x14ac:dyDescent="0.35">
      <c r="A145" s="26" t="s">
        <v>107</v>
      </c>
      <c r="E145" s="57">
        <v>3255208.34</v>
      </c>
      <c r="F145" s="43"/>
      <c r="G145" s="44"/>
    </row>
    <row r="146" spans="1:256" x14ac:dyDescent="0.35">
      <c r="A146" s="62" t="s">
        <v>108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109</v>
      </c>
      <c r="E147" s="12">
        <v>3255208.34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110</v>
      </c>
      <c r="D149" s="63"/>
      <c r="E149" s="22">
        <v>3255208.34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111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112</v>
      </c>
      <c r="E153" s="64">
        <v>3.6315065700000003E-2</v>
      </c>
      <c r="F153" s="43"/>
      <c r="G153" s="44"/>
    </row>
    <row r="154" spans="1:256" x14ac:dyDescent="0.35">
      <c r="A154" s="26" t="s">
        <v>113</v>
      </c>
      <c r="E154" s="60">
        <v>45.514871999999997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41</v>
      </c>
      <c r="E156" s="53" t="s">
        <v>40</v>
      </c>
      <c r="F156" s="43"/>
      <c r="G156" s="44"/>
    </row>
    <row r="157" spans="1:256" x14ac:dyDescent="0.35">
      <c r="A157" s="26" t="s">
        <v>114</v>
      </c>
      <c r="D157" s="12">
        <v>107443.06</v>
      </c>
      <c r="E157" s="2">
        <v>4</v>
      </c>
      <c r="F157" s="65"/>
      <c r="G157" s="44"/>
    </row>
    <row r="158" spans="1:256" x14ac:dyDescent="0.35">
      <c r="A158" s="26" t="s">
        <v>115</v>
      </c>
      <c r="D158" s="61">
        <v>0</v>
      </c>
      <c r="F158" s="43"/>
      <c r="G158" s="44"/>
    </row>
    <row r="159" spans="1:256" x14ac:dyDescent="0.35">
      <c r="A159" s="2" t="s">
        <v>116</v>
      </c>
      <c r="D159" s="22">
        <v>107443.06</v>
      </c>
    </row>
    <row r="160" spans="1:256" x14ac:dyDescent="0.35">
      <c r="A160" s="26" t="s">
        <v>117</v>
      </c>
      <c r="D160" s="12">
        <v>1449675307.3599999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118</v>
      </c>
      <c r="D162" s="66">
        <v>0</v>
      </c>
      <c r="F162" s="65"/>
      <c r="G162" s="44"/>
    </row>
    <row r="163" spans="1:7" x14ac:dyDescent="0.35">
      <c r="A163" s="26" t="s">
        <v>119</v>
      </c>
      <c r="D163" s="66">
        <v>0</v>
      </c>
      <c r="F163" s="65"/>
      <c r="G163" s="44"/>
    </row>
    <row r="164" spans="1:7" x14ac:dyDescent="0.35">
      <c r="A164" s="26" t="s">
        <v>120</v>
      </c>
      <c r="D164" s="66">
        <v>0</v>
      </c>
      <c r="F164" s="65"/>
      <c r="G164" s="44"/>
    </row>
    <row r="165" spans="1:7" x14ac:dyDescent="0.35">
      <c r="A165" s="26" t="s">
        <v>121</v>
      </c>
      <c r="D165" s="66">
        <v>8.8938310079101192E-4</v>
      </c>
      <c r="F165" s="43"/>
      <c r="G165" s="44"/>
    </row>
    <row r="166" spans="1:7" x14ac:dyDescent="0.35">
      <c r="A166" s="26" t="s">
        <v>122</v>
      </c>
      <c r="D166" s="64">
        <v>2.2234577519775298E-4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123</v>
      </c>
      <c r="D168" s="22">
        <v>107443.06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124</v>
      </c>
      <c r="D170" s="53" t="s">
        <v>41</v>
      </c>
      <c r="E170" s="53" t="s">
        <v>40</v>
      </c>
      <c r="F170" s="67" t="s">
        <v>125</v>
      </c>
      <c r="G170" s="44"/>
    </row>
    <row r="171" spans="1:7" x14ac:dyDescent="0.35">
      <c r="A171" s="41" t="s">
        <v>126</v>
      </c>
      <c r="D171" s="57">
        <v>1989536.61</v>
      </c>
      <c r="E171" s="68">
        <v>93</v>
      </c>
      <c r="F171" s="66">
        <v>1.4248917651580608E-3</v>
      </c>
      <c r="G171" s="44"/>
    </row>
    <row r="172" spans="1:7" x14ac:dyDescent="0.35">
      <c r="A172" s="41" t="s">
        <v>127</v>
      </c>
      <c r="D172" s="57">
        <v>30839.94</v>
      </c>
      <c r="E172" s="68">
        <v>1</v>
      </c>
      <c r="F172" s="66">
        <v>2.2087342511364333E-5</v>
      </c>
      <c r="G172" s="44"/>
    </row>
    <row r="173" spans="1:7" x14ac:dyDescent="0.35">
      <c r="A173" s="41" t="s">
        <v>128</v>
      </c>
      <c r="D173" s="19">
        <v>0</v>
      </c>
      <c r="E173" s="69">
        <v>0</v>
      </c>
      <c r="F173" s="66">
        <v>0</v>
      </c>
      <c r="G173" s="44"/>
    </row>
    <row r="174" spans="1:7" x14ac:dyDescent="0.35">
      <c r="A174" s="41" t="s">
        <v>129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130</v>
      </c>
      <c r="D175" s="73">
        <v>2020376.55</v>
      </c>
      <c r="E175" s="68">
        <v>94</v>
      </c>
      <c r="F175" s="74">
        <v>1.4469791076694252E-3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131</v>
      </c>
      <c r="D177" s="66"/>
      <c r="E177" s="66"/>
      <c r="F177" s="65"/>
      <c r="G177" s="44"/>
    </row>
    <row r="178" spans="1:7" x14ac:dyDescent="0.35">
      <c r="A178" s="26" t="s">
        <v>132</v>
      </c>
      <c r="D178" s="66">
        <v>0</v>
      </c>
      <c r="E178" s="66">
        <v>0</v>
      </c>
      <c r="F178" s="65"/>
      <c r="G178" s="44"/>
    </row>
    <row r="179" spans="1:7" x14ac:dyDescent="0.35">
      <c r="A179" s="26" t="s">
        <v>133</v>
      </c>
      <c r="D179" s="66">
        <v>0</v>
      </c>
      <c r="E179" s="66">
        <v>0</v>
      </c>
      <c r="F179" s="65"/>
      <c r="G179" s="44"/>
    </row>
    <row r="180" spans="1:7" x14ac:dyDescent="0.35">
      <c r="A180" s="26" t="s">
        <v>134</v>
      </c>
      <c r="D180" s="66">
        <v>0</v>
      </c>
      <c r="E180" s="66">
        <v>0</v>
      </c>
      <c r="F180" s="65"/>
      <c r="G180" s="44"/>
    </row>
    <row r="181" spans="1:7" x14ac:dyDescent="0.35">
      <c r="A181" s="26" t="s">
        <v>135</v>
      </c>
      <c r="D181" s="66">
        <v>2.2087342511364333E-5</v>
      </c>
      <c r="E181" s="66">
        <v>1.3202191563799591E-5</v>
      </c>
      <c r="F181" s="43"/>
      <c r="G181" s="44"/>
    </row>
    <row r="182" spans="1:7" x14ac:dyDescent="0.35">
      <c r="A182" s="26" t="s">
        <v>136</v>
      </c>
      <c r="D182" s="66">
        <v>5.5218356278410834E-6</v>
      </c>
      <c r="E182" s="66">
        <v>3.3005478909498978E-6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137</v>
      </c>
      <c r="D184" s="75">
        <v>30839.94</v>
      </c>
      <c r="F184" s="43"/>
      <c r="G184" s="44"/>
    </row>
    <row r="185" spans="1:7" x14ac:dyDescent="0.35">
      <c r="A185" s="2" t="s">
        <v>138</v>
      </c>
      <c r="D185" s="63">
        <v>2.2087342511364333E-5</v>
      </c>
      <c r="F185" s="43"/>
      <c r="G185" s="44"/>
    </row>
    <row r="186" spans="1:7" x14ac:dyDescent="0.35">
      <c r="A186" s="2" t="s">
        <v>139</v>
      </c>
      <c r="D186" s="66">
        <v>4.9000000000000002E-2</v>
      </c>
      <c r="F186" s="43"/>
      <c r="G186" s="44"/>
    </row>
    <row r="187" spans="1:7" x14ac:dyDescent="0.35">
      <c r="A187" s="2" t="s">
        <v>140</v>
      </c>
      <c r="D187" s="76" t="s">
        <v>160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141</v>
      </c>
      <c r="D189" s="77">
        <v>2984851.44</v>
      </c>
      <c r="F189" s="43"/>
      <c r="G189" s="44"/>
    </row>
    <row r="190" spans="1:7" x14ac:dyDescent="0.35">
      <c r="A190" s="2" t="s">
        <v>142</v>
      </c>
      <c r="B190" s="78"/>
      <c r="C190" s="78"/>
      <c r="D190" s="79">
        <v>127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143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144</v>
      </c>
      <c r="E195" s="10"/>
      <c r="F195" s="43"/>
      <c r="G195" s="44"/>
    </row>
    <row r="196" spans="1:7" x14ac:dyDescent="0.35">
      <c r="A196" s="26" t="s">
        <v>145</v>
      </c>
      <c r="E196" s="10"/>
      <c r="F196" s="43"/>
      <c r="G196" s="44"/>
    </row>
    <row r="197" spans="1:7" x14ac:dyDescent="0.35">
      <c r="A197" s="26" t="s">
        <v>146</v>
      </c>
      <c r="E197" s="80"/>
      <c r="F197" s="43"/>
      <c r="G197" s="44"/>
    </row>
    <row r="198" spans="1:7" x14ac:dyDescent="0.35">
      <c r="A198" s="26" t="s">
        <v>147</v>
      </c>
      <c r="E198" s="80" t="s">
        <v>154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148</v>
      </c>
      <c r="E200" s="10"/>
      <c r="F200" s="43"/>
      <c r="G200" s="44"/>
    </row>
    <row r="201" spans="1:7" x14ac:dyDescent="0.35">
      <c r="A201" s="26" t="s">
        <v>149</v>
      </c>
      <c r="E201" s="80" t="s">
        <v>154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150</v>
      </c>
      <c r="E203" s="10"/>
      <c r="F203" s="43"/>
      <c r="G203" s="44"/>
    </row>
    <row r="204" spans="1:7" x14ac:dyDescent="0.35">
      <c r="A204" s="26" t="s">
        <v>151</v>
      </c>
      <c r="E204" s="80" t="s">
        <v>154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152</v>
      </c>
      <c r="E206" s="10"/>
      <c r="G206" s="44"/>
    </row>
    <row r="207" spans="1:7" x14ac:dyDescent="0.35">
      <c r="A207" s="26" t="s">
        <v>153</v>
      </c>
      <c r="E207" s="80" t="s">
        <v>154</v>
      </c>
      <c r="G207" s="44"/>
    </row>
    <row r="210" spans="1:5" x14ac:dyDescent="0.35">
      <c r="A210" s="2" t="s">
        <v>161</v>
      </c>
    </row>
    <row r="211" spans="1:5" x14ac:dyDescent="0.35">
      <c r="A211" s="2" t="s">
        <v>162</v>
      </c>
    </row>
    <row r="212" spans="1:5" x14ac:dyDescent="0.35">
      <c r="A212" s="2" t="s">
        <v>155</v>
      </c>
    </row>
    <row r="213" spans="1:5" x14ac:dyDescent="0.35">
      <c r="A213" s="2" t="s">
        <v>156</v>
      </c>
    </row>
    <row r="214" spans="1:5" x14ac:dyDescent="0.35">
      <c r="A214" s="2" t="s">
        <v>157</v>
      </c>
      <c r="B214" s="81"/>
      <c r="C214" s="81"/>
      <c r="D214" s="81"/>
      <c r="E214" s="81"/>
    </row>
    <row r="215" spans="1:5" x14ac:dyDescent="0.35">
      <c r="A215" s="2" t="s">
        <v>158</v>
      </c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23-B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Dec23</vt:lpstr>
      <vt:lpstr>Nov23</vt:lpstr>
      <vt:lpstr>Oct23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Hales, Malori</dc:creator>
  <cp:lastModifiedBy>Wang, Yu</cp:lastModifiedBy>
  <dcterms:created xsi:type="dcterms:W3CDTF">2023-03-17T20:38:35Z</dcterms:created>
  <dcterms:modified xsi:type="dcterms:W3CDTF">2024-04-17T19:21:55Z</dcterms:modified>
</cp:coreProperties>
</file>