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N M O T R\Salesforce 2024-B\"/>
    </mc:Choice>
  </mc:AlternateContent>
  <xr:revisionPtr revIDLastSave="0" documentId="13_ncr:1_{26F26EBA-D039-4125-BACF-9C279F3D69FB}" xr6:coauthVersionLast="47" xr6:coauthVersionMax="47" xr10:uidLastSave="{00000000-0000-0000-0000-000000000000}"/>
  <bookViews>
    <workbookView xWindow="-38520" yWindow="-120" windowWidth="38640" windowHeight="21240" activeTab="2" xr2:uid="{00000000-000D-0000-FFFF-FFFF00000000}"/>
  </bookViews>
  <sheets>
    <sheet name="May24 Aggregate" sheetId="19" r:id="rId1"/>
    <sheet name="May24 2024-B" sheetId="20" r:id="rId2"/>
    <sheet name="May24 Pool Data" sheetId="21" r:id="rId3"/>
    <sheet name="Apr24 Aggregate" sheetId="16" r:id="rId4"/>
    <sheet name="Apr24 2024-B" sheetId="17" r:id="rId5"/>
    <sheet name="Apr24 Pool Data" sheetId="18" r:id="rId6"/>
    <sheet name="Mar24 Aggregate" sheetId="13" r:id="rId7"/>
    <sheet name="Mar24 2024-B" sheetId="14" r:id="rId8"/>
    <sheet name="Mar24 Pool Data" sheetId="15" r:id="rId9"/>
  </sheets>
  <externalReferences>
    <externalReference r:id="rId10"/>
  </externalReferences>
  <definedNames>
    <definedName name="HTML_CodePage" hidden="1">1252</definedName>
    <definedName name="HTML_Control" localSheetId="4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8" hidden="1">{"'2003-A Filing'!$A$1:$I$57"}</definedName>
    <definedName name="HTML_Control" localSheetId="1" hidden="1">{"'2003-A Filing'!$A$1:$I$57"}</definedName>
    <definedName name="HTML_Control" localSheetId="2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8" l="1"/>
  <c r="J33" i="18"/>
  <c r="J31" i="18"/>
  <c r="J38" i="18" s="1"/>
  <c r="E27" i="18"/>
  <c r="E25" i="18"/>
  <c r="E21" i="18"/>
  <c r="E34" i="18" s="1"/>
  <c r="E39" i="18" s="1"/>
  <c r="D53" i="16" s="1"/>
  <c r="C19" i="18"/>
  <c r="D4" i="18"/>
  <c r="I60" i="17"/>
  <c r="E60" i="17"/>
  <c r="J59" i="17"/>
  <c r="I55" i="17"/>
  <c r="E47" i="17"/>
  <c r="I46" i="17"/>
  <c r="E45" i="17"/>
  <c r="F42" i="17" s="1"/>
  <c r="E44" i="17"/>
  <c r="I43" i="17"/>
  <c r="I44" i="17" s="1"/>
  <c r="F43" i="17"/>
  <c r="E43" i="17"/>
  <c r="E42" i="17"/>
  <c r="E40" i="17"/>
  <c r="E39" i="17"/>
  <c r="E38" i="17"/>
  <c r="E37" i="17"/>
  <c r="I36" i="17"/>
  <c r="E36" i="17"/>
  <c r="E35" i="17"/>
  <c r="I34" i="17"/>
  <c r="E27" i="17"/>
  <c r="J25" i="17"/>
  <c r="J27" i="17" s="1"/>
  <c r="E14" i="17"/>
  <c r="E4" i="17"/>
  <c r="D63" i="16"/>
  <c r="E58" i="16"/>
  <c r="D58" i="16"/>
  <c r="E57" i="16"/>
  <c r="D50" i="16"/>
  <c r="J37" i="16"/>
  <c r="J38" i="16" s="1"/>
  <c r="J42" i="16" s="1"/>
  <c r="J44" i="16" s="1"/>
  <c r="J35" i="16"/>
  <c r="F35" i="16"/>
  <c r="F33" i="16" s="1"/>
  <c r="J34" i="16"/>
  <c r="D27" i="16"/>
  <c r="J26" i="16"/>
  <c r="K22" i="16"/>
  <c r="J22" i="16"/>
  <c r="F25" i="17" s="1"/>
  <c r="H22" i="16"/>
  <c r="G22" i="16"/>
  <c r="F22" i="17" s="1"/>
  <c r="F22" i="16"/>
  <c r="E22" i="16"/>
  <c r="D22" i="16"/>
  <c r="C22" i="16"/>
  <c r="J60" i="17" s="1"/>
  <c r="J61" i="17" s="1"/>
  <c r="J62" i="17" s="1"/>
  <c r="I20" i="16"/>
  <c r="E23" i="17" s="1"/>
  <c r="I19" i="16"/>
  <c r="I22" i="16" s="1"/>
  <c r="F23" i="17" s="1"/>
  <c r="K14" i="16"/>
  <c r="J14" i="16"/>
  <c r="H14" i="16"/>
  <c r="G14" i="16"/>
  <c r="F14" i="16"/>
  <c r="E14" i="16"/>
  <c r="D14" i="16"/>
  <c r="C14" i="16"/>
  <c r="I12" i="16"/>
  <c r="I11" i="16"/>
  <c r="I14" i="16" s="1"/>
  <c r="D4" i="16"/>
</calcChain>
</file>

<file path=xl/sharedStrings.xml><?xml version="1.0" encoding="utf-8"?>
<sst xmlns="http://schemas.openxmlformats.org/spreadsheetml/2006/main" count="700" uniqueCount="180">
  <si>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</si>
  <si>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</si>
  <si>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</si>
  <si>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</si>
  <si>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</si>
  <si>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</si>
  <si>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</si>
  <si>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</si>
  <si>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>Trust and Series Allocation - Beginning of Collection Period (Except as otherwise noted)</t>
  </si>
  <si>
    <t>Name</t>
  </si>
  <si>
    <r>
      <t xml:space="preserve">Outstanding Debt </t>
    </r>
    <r>
      <rPr>
        <b/>
        <vertAlign val="superscript"/>
        <sz val="10"/>
        <rFont val="Arial"/>
        <family val="2"/>
      </rPr>
      <t>1.</t>
    </r>
  </si>
  <si>
    <r>
      <t>Excess Funding Account</t>
    </r>
    <r>
      <rPr>
        <b/>
        <vertAlign val="superscript"/>
        <sz val="10"/>
        <rFont val="Arial"/>
        <family val="2"/>
      </rPr>
      <t>3.</t>
    </r>
    <r>
      <rPr>
        <b/>
        <sz val="10"/>
        <rFont val="Arial"/>
        <family val="2"/>
      </rPr>
      <t xml:space="preserve"> </t>
    </r>
  </si>
  <si>
    <r>
      <t xml:space="preserve">Amount Invested in Receivables </t>
    </r>
    <r>
      <rPr>
        <b/>
        <vertAlign val="superscript"/>
        <sz val="10"/>
        <rFont val="Arial"/>
        <family val="2"/>
      </rPr>
      <t>1.</t>
    </r>
  </si>
  <si>
    <r>
      <t>Required Overcollateraliz. Amount</t>
    </r>
    <r>
      <rPr>
        <b/>
        <vertAlign val="superscript"/>
        <sz val="10"/>
        <rFont val="Arial"/>
        <family val="2"/>
      </rPr>
      <t xml:space="preserve"> 1.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</si>
  <si>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1.3.</t>
    </r>
  </si>
  <si>
    <t>Incremental Overcollateraliz. Amount</t>
  </si>
  <si>
    <r>
      <t xml:space="preserve">Excess Collateral </t>
    </r>
    <r>
      <rPr>
        <b/>
        <vertAlign val="superscript"/>
        <sz val="10"/>
        <rFont val="Arial"/>
        <family val="2"/>
      </rPr>
      <t>2. 3.</t>
    </r>
  </si>
  <si>
    <r>
      <t xml:space="preserve">Total Collateral </t>
    </r>
    <r>
      <rPr>
        <b/>
        <vertAlign val="superscript"/>
        <sz val="10"/>
        <rFont val="Arial"/>
        <family val="2"/>
      </rPr>
      <t>2.3.</t>
    </r>
  </si>
  <si>
    <t>Series Allocation Percentage (SAP)</t>
  </si>
  <si>
    <t>Total Trust</t>
  </si>
  <si>
    <t>Trust and Series Allocation - End of Collection Period (Except as otherwise noted)</t>
  </si>
  <si>
    <r>
      <t xml:space="preserve">Required Overcollateraliz. Amount </t>
    </r>
    <r>
      <rPr>
        <b/>
        <vertAlign val="superscript"/>
        <sz val="10"/>
        <rFont val="Arial"/>
        <family val="2"/>
      </rPr>
      <t>1.</t>
    </r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</si>
  <si>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</si>
  <si>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</si>
  <si>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</si>
  <si>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</si>
  <si>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</si>
  <si>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</si>
  <si>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</si>
  <si>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</si>
  <si>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</si>
  <si>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</si>
  <si>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</si>
  <si>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</si>
  <si>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</si>
  <si>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</si>
  <si>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</si>
  <si>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</si>
  <si>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</si>
  <si>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</si>
  <si>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</si>
  <si>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</si>
  <si>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</si>
  <si>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</si>
  <si>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</si>
  <si>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</si>
  <si>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</si>
  <si>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</si>
  <si>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</si>
  <si>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</si>
  <si>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</si>
  <si>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</si>
  <si>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</si>
  <si>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</si>
  <si>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</si>
  <si>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Monthly Payment Rate 3 Months Ago</t>
  </si>
  <si>
    <t>Excess Spread</t>
  </si>
  <si>
    <t>Monthly Payment Rate 4 Months Ago</t>
  </si>
  <si>
    <t>Monthly Payment Rate 5 Months Ago</t>
  </si>
  <si>
    <t>3-Month Average Payment Rate</t>
  </si>
  <si>
    <t>6-Month Average Payment Rate</t>
  </si>
  <si>
    <t>Used and Pre-Owned Vehicle Balance</t>
  </si>
  <si>
    <t>Used and Pre-Owned Vehicle Percentage</t>
  </si>
  <si>
    <t>Incremental Overcollateralization Amount</t>
  </si>
  <si>
    <t>Total Balance in Excess Funding Accounts (End of Collection Period)</t>
  </si>
  <si>
    <t>Total Balance in Excess Funding Accounts (Distribution Date)</t>
  </si>
  <si>
    <t>Total Balance in Accumulation Accounts (Distribution Date)</t>
  </si>
  <si>
    <t/>
  </si>
  <si>
    <t>Principal Default Amounts/Avg. Daily Balance</t>
  </si>
  <si>
    <t>Summary of Collections</t>
  </si>
  <si>
    <t>Total Collections</t>
  </si>
  <si>
    <t>1. As of the Distribution Date</t>
  </si>
  <si>
    <t>2. As of the end of the Collection Period except as increased by amounts, if any, on deposit in the Excess Funding Account and/or the Accumulation Account as of the Distribution Date</t>
  </si>
  <si>
    <t>3. Under the applicable transaction documents, this amount is calculated and/or applicable with respect to the trust in the aggregate. We are including deemed amounts with respect to each Series on this report given past practice.</t>
  </si>
  <si>
    <t>&lt;== Series Index Offset</t>
  </si>
  <si>
    <t>&lt;== A1 Note Index Offset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</si>
  <si>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</si>
  <si>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</si>
  <si>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</si>
  <si>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</si>
  <si>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</si>
  <si>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Early Redemption</t>
  </si>
  <si>
    <t>Payment Date</t>
  </si>
  <si>
    <t>No</t>
  </si>
  <si>
    <t>Notes</t>
  </si>
  <si>
    <t xml:space="preserve">                 </t>
  </si>
  <si>
    <t>Principal Amount of Debt</t>
  </si>
  <si>
    <t>Required Overcollateralization</t>
  </si>
  <si>
    <t>Required Overcollateralization Increase - MPR &lt; 30%</t>
  </si>
  <si>
    <t>Required Overcollateralization Increase - MPR &lt; 25%</t>
  </si>
  <si>
    <t xml:space="preserve"> </t>
  </si>
  <si>
    <t>Ending Balance</t>
  </si>
  <si>
    <t>Series Nominal Liquidation Amount</t>
  </si>
  <si>
    <t>Distributions to Investors</t>
  </si>
  <si>
    <t>NMOTR Total Pool</t>
  </si>
  <si>
    <r>
      <t>Required Participation Amount</t>
    </r>
    <r>
      <rPr>
        <vertAlign val="superscript"/>
        <sz val="10"/>
        <rFont val="Arial"/>
        <family val="2"/>
      </rPr>
      <t>1.</t>
    </r>
  </si>
  <si>
    <t>Applicable Margin</t>
  </si>
  <si>
    <r>
      <t>Excess Receivables</t>
    </r>
    <r>
      <rPr>
        <vertAlign val="superscript"/>
        <sz val="10"/>
        <rFont val="Arial"/>
        <family val="2"/>
      </rPr>
      <t>1.</t>
    </r>
  </si>
  <si>
    <r>
      <t>Excess Funding Account</t>
    </r>
    <r>
      <rPr>
        <vertAlign val="superscript"/>
        <sz val="10"/>
        <rFont val="Arial"/>
        <family val="2"/>
      </rPr>
      <t>1.</t>
    </r>
  </si>
  <si>
    <r>
      <t>Total Collateral</t>
    </r>
    <r>
      <rPr>
        <b/>
        <vertAlign val="superscript"/>
        <sz val="10"/>
        <rFont val="Arial"/>
        <family val="2"/>
      </rPr>
      <t>1.</t>
    </r>
  </si>
  <si>
    <t>Collateral as Percent of Notes</t>
  </si>
  <si>
    <t>Actual</t>
  </si>
  <si>
    <t>Per $1000</t>
  </si>
  <si>
    <t>Interest</t>
  </si>
  <si>
    <t>NMOTR Trust Pool Activity</t>
  </si>
  <si>
    <t>Principal</t>
  </si>
  <si>
    <t>During the past Collection Period, the following activity occurred:</t>
  </si>
  <si>
    <t>NMOTR</t>
  </si>
  <si>
    <t>Total Pool</t>
  </si>
  <si>
    <t>Beginning Gross Principal Pool Balance</t>
  </si>
  <si>
    <t>Total Due Investors</t>
  </si>
  <si>
    <t>Principal Reallocation</t>
  </si>
  <si>
    <t>Excess Cash Flow</t>
  </si>
  <si>
    <t>New Series Issued During Collection Period</t>
  </si>
  <si>
    <t>Less Servicing Adjustment</t>
  </si>
  <si>
    <t>Reserve Account</t>
  </si>
  <si>
    <t>SAP for Next Period</t>
  </si>
  <si>
    <t>Required Balance</t>
  </si>
  <si>
    <t>Amt. to Cover Shortfall</t>
  </si>
  <si>
    <t>Average Receivable Balance</t>
  </si>
  <si>
    <t>Deposit to Reserve</t>
  </si>
  <si>
    <t>Current Balance</t>
  </si>
  <si>
    <t>Deficit/(Excess)</t>
  </si>
  <si>
    <t>Interest Collections</t>
  </si>
  <si>
    <t>During the past collection period, the following activity occurred:</t>
  </si>
  <si>
    <t>'Status Trigger'</t>
  </si>
  <si>
    <t>Threshold</t>
  </si>
  <si>
    <t>Principal Reallocations</t>
  </si>
  <si>
    <t>Status Percentage</t>
  </si>
  <si>
    <t>Total Available</t>
  </si>
  <si>
    <t>Pass / Fail</t>
  </si>
  <si>
    <t>PASS</t>
  </si>
  <si>
    <t>Seller’s Interest (calculated in accordance with Regulation RR)</t>
  </si>
  <si>
    <t>%</t>
  </si>
  <si>
    <t>Amount ($)</t>
  </si>
  <si>
    <t>Required Seller's Interest</t>
  </si>
  <si>
    <t>Seller's Interest*</t>
  </si>
  <si>
    <t>Seller's Interest plus Excess Funding Account</t>
  </si>
  <si>
    <t>Seller’s Interest plus Excess Funding Account is greater than Required Seller’s Interest?</t>
  </si>
  <si>
    <t>Yes</t>
  </si>
  <si>
    <t>*Calculated using the Pool Balance as of the last day of the related Collection Period and funds in any Accumulation Account on the Distribution Date.</t>
  </si>
  <si>
    <t>Concentrations</t>
  </si>
  <si>
    <t>Dealer</t>
  </si>
  <si>
    <t>Principal Receivables</t>
  </si>
  <si>
    <t>Overconcentr.</t>
  </si>
  <si>
    <t>Dealer I</t>
  </si>
  <si>
    <t>Dealer II</t>
  </si>
  <si>
    <t>Dealer III</t>
  </si>
  <si>
    <t>Dealer IV</t>
  </si>
  <si>
    <t>Dealer V</t>
  </si>
  <si>
    <t>Dealer VI</t>
  </si>
  <si>
    <t>Total Overconcentration Amount</t>
  </si>
  <si>
    <t xml:space="preserve">Early Amortization Events </t>
  </si>
  <si>
    <t>Portfolio MPR Trigger</t>
  </si>
  <si>
    <t>Excess Funding Account *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</si>
  <si>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</si>
  <si>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</si>
  <si>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</si>
  <si>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</si>
  <si>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</si>
  <si>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</si>
  <si>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</si>
  <si>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</si>
  <si>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</si>
  <si>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</si>
  <si>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</si>
  <si>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</si>
  <si>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</si>
  <si>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Total Required Incremental Overcollateralization</t>
  </si>
  <si>
    <t>Early Amortization Event</t>
  </si>
  <si>
    <t>* As of the Determination Date</t>
  </si>
  <si>
    <t>2024-A</t>
  </si>
  <si>
    <t>2024-B</t>
  </si>
  <si>
    <t>1. Under the applicable transaction documents, this amount is calculated and/or applicable with respect to the trust in the aggregate. We are including the deemed amount with respect to Series 2024-A on this report given past practice.</t>
  </si>
  <si>
    <t>Dealer VII</t>
  </si>
  <si>
    <t>Dealer VIII</t>
  </si>
  <si>
    <t>NISSAN MASTER OWNER TRUST RECEIVABLES — 2024-B SERIES</t>
  </si>
  <si>
    <t>On the Distribution Date, the Series 2024-B balances were:</t>
  </si>
  <si>
    <t>Fixed Rate</t>
  </si>
  <si>
    <t>Deemed Amount for Series 2024-B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</si>
</sst>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#,##0.000000000_);\(#,##0.000000000\)"/>
    <numFmt numFmtId="167" formatCode="0.000000%"/>
    <numFmt numFmtId="168" formatCode="_(* #,##0.0000_);_(* \(#,##0.0000\);_(* &quot;-&quot;??_);_(@_)"/>
    <numFmt numFmtId="169" formatCode="0.0000%"/>
    <numFmt numFmtId="170" formatCode="_(&quot;$&quot;* #,##0.0000_);_(&quot;$&quot;* \(#,##0.0000\);_(&quot;$&quot;* &quot;-&quot;??_);_(@_)"/>
    <numFmt numFmtId="171" formatCode="0.000%"/>
    <numFmt numFmtId="172" formatCode="0.000000000000000%"/>
    <numFmt numFmtId="173" formatCode="0.0%"/>
    <numFmt numFmtId="174" formatCode="_(* #,##0.000_);_(* \(#,##0.000\);_(* &quot;-&quot;???_);_(@_)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</cellStyleXfs>
  <cellXfs count="240">
    <xf numFmtId="0" fontId="0" fillId="0" borderId="0" xfId="0"/>
    <xf numFmtId="0" fontId="3" fillId="0" borderId="0" xfId="4" applyFont="1" applyFill="1"/>
    <xf numFmtId="0" fontId="3" fillId="0" borderId="7" xfId="4" applyFont="1" applyFill="1" applyBorder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43" fontId="2" fillId="0" borderId="0" xfId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0" fontId="2" fillId="0" borderId="0" xfId="4" applyFont="1" applyFill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7" fontId="3" fillId="0" borderId="0" xfId="4" applyNumberFormat="1" applyFont="1" applyFill="1"/>
    <xf numFmtId="166" fontId="3" fillId="0" borderId="0" xfId="4" applyNumberFormat="1" applyFont="1" applyFill="1" applyProtection="1">
      <protection locked="0"/>
    </xf>
    <xf numFmtId="10" fontId="2" fillId="0" borderId="10" xfId="3" applyNumberFormat="1" applyFont="1" applyFill="1" applyBorder="1" applyAlignment="1" applyProtection="1">
      <alignment horizontal="center"/>
    </xf>
    <xf numFmtId="39" fontId="3" fillId="0" borderId="0" xfId="4" applyNumberFormat="1" applyFont="1" applyFill="1"/>
    <xf numFmtId="168" fontId="3" fillId="0" borderId="0" xfId="1" applyNumberFormat="1" applyFont="1" applyFill="1" applyAlignment="1" applyProtection="1">
      <alignment horizontal="center"/>
    </xf>
    <xf numFmtId="0" fontId="3" fillId="0" borderId="0" xfId="0" applyFont="1"/>
    <xf numFmtId="39" fontId="8" fillId="0" borderId="0" xfId="4" applyNumberFormat="1" applyFont="1" applyFill="1"/>
    <xf numFmtId="39" fontId="9" fillId="0" borderId="0" xfId="4" applyNumberFormat="1" applyFont="1" applyFill="1"/>
    <xf numFmtId="7" fontId="3" fillId="0" borderId="0" xfId="1" applyNumberFormat="1" applyFont="1" applyFill="1" applyProtection="1"/>
    <xf numFmtId="169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44" fontId="3" fillId="0" borderId="0" xfId="2" applyFont="1" applyFill="1" applyProtection="1"/>
    <xf numFmtId="10" fontId="3" fillId="0" borderId="0" xfId="3" applyNumberFormat="1" applyFont="1" applyFill="1" applyAlignment="1" applyProtection="1">
      <alignment horizontal="left"/>
    </xf>
    <xf numFmtId="170" fontId="3" fillId="0" borderId="0" xfId="2" applyNumberFormat="1" applyFont="1" applyFill="1" applyProtection="1"/>
    <xf numFmtId="171" fontId="3" fillId="0" borderId="0" xfId="3" applyNumberFormat="1" applyFont="1" applyFill="1" applyProtection="1"/>
    <xf numFmtId="0" fontId="3" fillId="0" borderId="0" xfId="4" applyFont="1" applyFill="1" applyAlignment="1" applyProtection="1">
      <alignment horizontal="left"/>
      <protection locked="0"/>
    </xf>
    <xf numFmtId="0" fontId="10" fillId="0" borderId="0" xfId="4" applyFont="1" applyFill="1"/>
    <xf numFmtId="0" fontId="3" fillId="0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/>
    <xf numFmtId="0" fontId="8" fillId="3" borderId="0" xfId="7" applyFont="1" applyFill="1"/>
    <xf numFmtId="10" fontId="2" fillId="0" borderId="0" xfId="9" applyNumberFormat="1" applyFont="1" applyFill="1" applyAlignment="1" applyProtection="1">
      <alignment horizontal="center"/>
    </xf>
    <xf numFmtId="1" fontId="3" fillId="0" borderId="7" xfId="6" applyNumberFormat="1" applyFont="1" applyFill="1" applyBorder="1"/>
    <xf numFmtId="0" fontId="3" fillId="0" borderId="7" xfId="6" applyFont="1" applyFill="1" applyBorder="1"/>
    <xf numFmtId="164" fontId="2" fillId="0" borderId="0" xfId="8" applyNumberFormat="1" applyFont="1"/>
    <xf numFmtId="0" fontId="2" fillId="0" borderId="0" xfId="8" applyFont="1" applyAlignment="1">
      <alignment horizontal="center"/>
    </xf>
    <xf numFmtId="0" fontId="2" fillId="0" borderId="0" xfId="8" applyFont="1"/>
    <xf numFmtId="7" fontId="11" fillId="0" borderId="0" xfId="10" applyNumberFormat="1" applyFont="1" applyFill="1" applyAlignment="1" applyProtection="1">
      <alignment horizontal="right"/>
    </xf>
    <xf numFmtId="0" fontId="9" fillId="0" borderId="0" xfId="8" applyFont="1"/>
    <xf numFmtId="43" fontId="11" fillId="0" borderId="0" xfId="10" applyNumberFormat="1" applyFont="1" applyFill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167" fontId="3" fillId="0" borderId="0" xfId="3" applyNumberFormat="1" applyFont="1"/>
    <xf numFmtId="10" fontId="3" fillId="0" borderId="0" xfId="9" applyNumberFormat="1" applyFont="1"/>
    <xf numFmtId="7" fontId="2" fillId="0" borderId="0" xfId="9" applyNumberFormat="1" applyFont="1" applyBorder="1"/>
    <xf numFmtId="43" fontId="11" fillId="0" borderId="0" xfId="1" applyFont="1" applyFill="1" applyProtection="1"/>
    <xf numFmtId="7" fontId="11" fillId="0" borderId="7" xfId="10" applyNumberFormat="1" applyFont="1" applyFill="1" applyBorder="1" applyAlignment="1" applyProtection="1">
      <alignment horizontal="right"/>
    </xf>
    <xf numFmtId="43" fontId="11" fillId="0" borderId="7" xfId="1" applyFont="1" applyFill="1" applyBorder="1" applyProtection="1"/>
    <xf numFmtId="169" fontId="2" fillId="0" borderId="0" xfId="9" applyNumberFormat="1" applyFont="1" applyBorder="1" applyAlignment="1">
      <alignment horizontal="center"/>
    </xf>
    <xf numFmtId="43" fontId="3" fillId="0" borderId="0" xfId="1" applyFont="1"/>
    <xf numFmtId="39" fontId="2" fillId="0" borderId="0" xfId="8" applyNumberFormat="1" applyFont="1" applyAlignment="1">
      <alignment horizontal="center"/>
    </xf>
    <xf numFmtId="39" fontId="2" fillId="0" borderId="7" xfId="8" applyNumberFormat="1" applyFont="1" applyBorder="1" applyAlignment="1">
      <alignment horizontal="center"/>
    </xf>
    <xf numFmtId="43" fontId="11" fillId="0" borderId="0" xfId="10" applyNumberFormat="1" applyFont="1" applyFill="1" applyBorder="1" applyAlignment="1" applyProtection="1">
      <alignment horizontal="right"/>
    </xf>
    <xf numFmtId="43" fontId="11" fillId="0" borderId="0" xfId="1" applyFont="1" applyFill="1" applyBorder="1" applyProtection="1"/>
    <xf numFmtId="7" fontId="11" fillId="0" borderId="0" xfId="10" applyNumberFormat="1" applyFont="1" applyFill="1" applyBorder="1" applyAlignment="1" applyProtection="1">
      <alignment horizontal="right"/>
    </xf>
    <xf numFmtId="43" fontId="3" fillId="0" borderId="0" xfId="1" applyFont="1" applyBorder="1"/>
    <xf numFmtId="43" fontId="3" fillId="0" borderId="0" xfId="1" applyFont="1" applyFill="1" applyBorder="1" applyProtection="1"/>
    <xf numFmtId="43" fontId="11" fillId="0" borderId="0" xfId="12" applyFont="1" applyFill="1" applyBorder="1" applyAlignment="1" applyProtection="1">
      <alignment horizontal="right"/>
    </xf>
    <xf numFmtId="43" fontId="11" fillId="0" borderId="7" xfId="1" applyFont="1" applyFill="1" applyBorder="1" applyAlignment="1" applyProtection="1">
      <alignment horizontal="right"/>
    </xf>
    <xf numFmtId="43" fontId="3" fillId="0" borderId="0" xfId="13" applyFont="1" applyFill="1"/>
    <xf numFmtId="7" fontId="2" fillId="0" borderId="0" xfId="12" applyNumberFormat="1" applyFont="1" applyBorder="1"/>
    <xf numFmtId="43" fontId="3" fillId="0" borderId="0" xfId="12" applyFont="1"/>
    <xf numFmtId="7" fontId="2" fillId="0" borderId="10" xfId="12" applyNumberFormat="1" applyFont="1" applyBorder="1"/>
    <xf numFmtId="7" fontId="3" fillId="0" borderId="0" xfId="12" applyNumberFormat="1" applyFont="1"/>
    <xf numFmtId="0" fontId="15" fillId="0" borderId="0" xfId="8" quotePrefix="1" applyFont="1" applyAlignment="1">
      <alignment horizontal="right"/>
    </xf>
    <xf numFmtId="0" fontId="16" fillId="0" borderId="0" xfId="8" applyFont="1"/>
    <xf numFmtId="7" fontId="3" fillId="0" borderId="0" xfId="12" applyNumberFormat="1" applyFont="1" applyBorder="1"/>
    <xf numFmtId="0" fontId="2" fillId="0" borderId="7" xfId="8" quotePrefix="1" applyFont="1" applyBorder="1"/>
    <xf numFmtId="173" fontId="3" fillId="0" borderId="0" xfId="3" applyNumberFormat="1" applyFont="1"/>
    <xf numFmtId="10" fontId="3" fillId="0" borderId="0" xfId="3" applyNumberFormat="1" applyFont="1"/>
    <xf numFmtId="7" fontId="3" fillId="0" borderId="10" xfId="12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7" xfId="8" quotePrefix="1" applyFont="1" applyBorder="1" applyAlignment="1">
      <alignment horizontal="left" vertical="center"/>
    </xf>
    <xf numFmtId="0" fontId="2" fillId="0" borderId="0" xfId="11" applyFont="1" applyAlignment="1">
      <alignment horizontal="right"/>
    </xf>
    <xf numFmtId="10" fontId="3" fillId="0" borderId="0" xfId="14" applyNumberFormat="1" applyFont="1"/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3" fillId="0" borderId="5" xfId="6" applyFont="1" applyFill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0" fontId="2" fillId="0" borderId="14" xfId="6" applyFont="1" applyFill="1" applyBorder="1" applyAlignment="1">
      <alignment horizontal="center"/>
    </xf>
    <xf numFmtId="7" fontId="3" fillId="0" borderId="0" xfId="12" applyNumberFormat="1" applyFont="1" applyFill="1" applyBorder="1"/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2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10" fontId="3" fillId="0" borderId="5" xfId="6" applyNumberFormat="1" applyFont="1" applyFill="1" applyBorder="1" applyAlignment="1">
      <alignment horizontal="right"/>
    </xf>
    <xf numFmtId="0" fontId="2" fillId="0" borderId="7" xfId="6" applyFont="1" applyFill="1" applyBorder="1"/>
    <xf numFmtId="7" fontId="2" fillId="0" borderId="8" xfId="15" applyNumberFormat="1" applyFont="1" applyBorder="1"/>
    <xf numFmtId="0" fontId="2" fillId="0" borderId="4" xfId="6" applyFont="1" applyFill="1" applyBorder="1"/>
    <xf numFmtId="43" fontId="3" fillId="0" borderId="0" xfId="12" applyFont="1" applyBorder="1"/>
    <xf numFmtId="0" fontId="2" fillId="0" borderId="7" xfId="8" applyFont="1" applyBorder="1" applyAlignment="1">
      <alignment horizontal="center"/>
    </xf>
    <xf numFmtId="0" fontId="2" fillId="0" borderId="0" xfId="4" quotePrefix="1" applyFont="1" applyFill="1" applyAlignment="1">
      <alignment horizontal="left"/>
    </xf>
    <xf numFmtId="0" fontId="3" fillId="0" borderId="0" xfId="4" applyFont="1" applyFill="1" applyAlignment="1">
      <alignment horizontal="centerContinuous"/>
    </xf>
    <xf numFmtId="0" fontId="2" fillId="0" borderId="1" xfId="4" applyFont="1" applyFill="1" applyBorder="1"/>
    <xf numFmtId="0" fontId="4" fillId="0" borderId="2" xfId="4" applyFont="1" applyFill="1" applyBorder="1" applyAlignment="1">
      <alignment horizontal="right"/>
    </xf>
    <xf numFmtId="0" fontId="4" fillId="0" borderId="3" xfId="4" applyFont="1" applyFill="1" applyBorder="1" applyAlignment="1">
      <alignment horizontal="right"/>
    </xf>
    <xf numFmtId="164" fontId="3" fillId="0" borderId="0" xfId="4" applyNumberFormat="1" applyFont="1" applyFill="1" applyAlignment="1">
      <alignment horizontal="center"/>
    </xf>
    <xf numFmtId="0" fontId="3" fillId="0" borderId="4" xfId="4" applyFont="1" applyFill="1" applyBorder="1" applyAlignment="1">
      <alignment horizontal="left"/>
    </xf>
    <xf numFmtId="164" fontId="3" fillId="0" borderId="0" xfId="4" applyNumberFormat="1" applyFont="1" applyFill="1" applyAlignment="1">
      <alignment horizontal="right"/>
    </xf>
    <xf numFmtId="164" fontId="3" fillId="0" borderId="0" xfId="4" applyNumberFormat="1" applyFont="1" applyFill="1"/>
    <xf numFmtId="164" fontId="3" fillId="0" borderId="5" xfId="4" applyNumberFormat="1" applyFont="1" applyFill="1" applyBorder="1"/>
    <xf numFmtId="0" fontId="3" fillId="0" borderId="0" xfId="4" applyFont="1" applyFill="1" applyAlignment="1">
      <alignment horizontal="left"/>
    </xf>
    <xf numFmtId="0" fontId="3" fillId="0" borderId="6" xfId="4" applyFont="1" applyFill="1" applyBorder="1" applyAlignment="1">
      <alignment horizontal="left"/>
    </xf>
    <xf numFmtId="0" fontId="3" fillId="0" borderId="8" xfId="4" applyFont="1" applyFill="1" applyBorder="1"/>
    <xf numFmtId="174" fontId="3" fillId="0" borderId="0" xfId="4" applyNumberFormat="1" applyFont="1" applyFill="1"/>
    <xf numFmtId="0" fontId="2" fillId="0" borderId="0" xfId="4" applyFont="1" applyFill="1" applyAlignment="1">
      <alignment horizontal="left"/>
    </xf>
    <xf numFmtId="0" fontId="2" fillId="0" borderId="0" xfId="4" applyFont="1" applyFill="1" applyAlignment="1">
      <alignment horizontal="center"/>
    </xf>
    <xf numFmtId="0" fontId="2" fillId="0" borderId="9" xfId="4" applyFont="1" applyFill="1" applyBorder="1" applyAlignment="1">
      <alignment horizontal="left"/>
    </xf>
    <xf numFmtId="0" fontId="2" fillId="0" borderId="9" xfId="4" applyFont="1" applyFill="1" applyBorder="1"/>
    <xf numFmtId="0" fontId="2" fillId="0" borderId="9" xfId="4" applyFont="1" applyFill="1" applyBorder="1" applyAlignment="1">
      <alignment horizontal="center" wrapText="1"/>
    </xf>
    <xf numFmtId="43" fontId="3" fillId="0" borderId="0" xfId="4" applyNumberFormat="1" applyFont="1" applyFill="1"/>
    <xf numFmtId="7" fontId="3" fillId="0" borderId="0" xfId="4" applyNumberFormat="1" applyFont="1" applyFill="1" applyAlignment="1">
      <alignment horizontal="right"/>
    </xf>
    <xf numFmtId="39" fontId="3" fillId="0" borderId="0" xfId="4" quotePrefix="1" applyNumberFormat="1" applyFont="1" applyFill="1" applyAlignment="1">
      <alignment horizontal="right"/>
    </xf>
    <xf numFmtId="0" fontId="2" fillId="0" borderId="10" xfId="4" applyFont="1" applyFill="1" applyBorder="1" applyAlignment="1">
      <alignment horizontal="left"/>
    </xf>
    <xf numFmtId="0" fontId="2" fillId="0" borderId="10" xfId="4" applyFont="1" applyFill="1" applyBorder="1"/>
    <xf numFmtId="7" fontId="2" fillId="0" borderId="10" xfId="4" applyNumberFormat="1" applyFont="1" applyFill="1" applyBorder="1" applyAlignment="1">
      <alignment horizontal="right"/>
    </xf>
    <xf numFmtId="43" fontId="2" fillId="0" borderId="10" xfId="4" applyNumberFormat="1" applyFont="1" applyFill="1" applyBorder="1" applyAlignment="1">
      <alignment horizontal="right"/>
    </xf>
    <xf numFmtId="10" fontId="2" fillId="0" borderId="10" xfId="4" applyNumberFormat="1" applyFont="1" applyFill="1" applyBorder="1" applyAlignment="1">
      <alignment horizontal="center"/>
    </xf>
    <xf numFmtId="39" fontId="2" fillId="0" borderId="0" xfId="4" applyNumberFormat="1" applyFont="1" applyFill="1"/>
    <xf numFmtId="10" fontId="2" fillId="0" borderId="0" xfId="4" applyNumberFormat="1" applyFont="1" applyFill="1"/>
    <xf numFmtId="10" fontId="2" fillId="0" borderId="9" xfId="4" applyNumberFormat="1" applyFont="1" applyFill="1" applyBorder="1" applyAlignment="1">
      <alignment horizontal="center" wrapText="1"/>
    </xf>
    <xf numFmtId="39" fontId="3" fillId="0" borderId="0" xfId="5" applyNumberFormat="1" applyFont="1" applyFill="1" applyAlignment="1">
      <alignment horizontal="right"/>
    </xf>
    <xf numFmtId="40" fontId="3" fillId="0" borderId="0" xfId="5" applyFont="1" applyFill="1" applyAlignment="1">
      <alignment horizontal="right"/>
    </xf>
    <xf numFmtId="7" fontId="2" fillId="0" borderId="10" xfId="4" applyNumberFormat="1" applyFont="1" applyFill="1" applyBorder="1"/>
    <xf numFmtId="167" fontId="3" fillId="0" borderId="0" xfId="4" applyNumberFormat="1" applyFont="1" applyFill="1"/>
    <xf numFmtId="10" fontId="3" fillId="0" borderId="0" xfId="4" applyNumberFormat="1" applyFont="1" applyFill="1"/>
    <xf numFmtId="171" fontId="3" fillId="0" borderId="0" xfId="3" applyNumberFormat="1" applyFont="1" applyFill="1" applyBorder="1" applyProtection="1"/>
    <xf numFmtId="0" fontId="7" fillId="0" borderId="0" xfId="4" applyFont="1" applyFill="1" applyAlignment="1">
      <alignment horizontal="left"/>
    </xf>
    <xf numFmtId="39" fontId="7" fillId="0" borderId="0" xfId="4" applyNumberFormat="1" applyFont="1" applyFill="1"/>
    <xf numFmtId="7" fontId="3" fillId="0" borderId="0" xfId="0" applyNumberFormat="1" applyFont="1"/>
    <xf numFmtId="7" fontId="8" fillId="0" borderId="0" xfId="4" applyNumberFormat="1" applyFont="1" applyFill="1"/>
    <xf numFmtId="37" fontId="3" fillId="0" borderId="0" xfId="4" applyNumberFormat="1" applyFont="1" applyFill="1"/>
    <xf numFmtId="0" fontId="3" fillId="0" borderId="9" xfId="4" applyFont="1" applyFill="1" applyBorder="1"/>
    <xf numFmtId="169" fontId="2" fillId="0" borderId="0" xfId="4" applyNumberFormat="1" applyFont="1" applyFill="1"/>
    <xf numFmtId="169" fontId="3" fillId="0" borderId="0" xfId="4" applyNumberFormat="1" applyFont="1" applyFill="1"/>
    <xf numFmtId="169" fontId="3" fillId="0" borderId="0" xfId="4" applyNumberFormat="1" applyFont="1" applyFill="1" applyAlignment="1">
      <alignment horizontal="right"/>
    </xf>
    <xf numFmtId="169" fontId="2" fillId="0" borderId="10" xfId="4" applyNumberFormat="1" applyFont="1" applyFill="1" applyBorder="1"/>
    <xf numFmtId="165" fontId="3" fillId="0" borderId="0" xfId="4" applyNumberFormat="1" applyFont="1" applyFill="1"/>
    <xf numFmtId="0" fontId="2" fillId="0" borderId="0" xfId="6" quotePrefix="1" applyFont="1" applyFill="1" applyAlignment="1">
      <alignment horizontal="left"/>
    </xf>
    <xf numFmtId="0" fontId="8" fillId="3" borderId="0" xfId="8" applyFont="1" applyFill="1" applyAlignment="1">
      <alignment horizontal="center"/>
    </xf>
    <xf numFmtId="0" fontId="4" fillId="0" borderId="10" xfId="6" applyFont="1" applyFill="1" applyBorder="1" applyAlignment="1">
      <alignment horizontal="right"/>
    </xf>
    <xf numFmtId="0" fontId="4" fillId="0" borderId="12" xfId="6" applyFont="1" applyFill="1" applyBorder="1" applyAlignment="1">
      <alignment horizontal="right"/>
    </xf>
    <xf numFmtId="0" fontId="2" fillId="0" borderId="0" xfId="6" applyFont="1" applyFill="1" applyAlignment="1">
      <alignment horizontal="right"/>
    </xf>
    <xf numFmtId="172" fontId="3" fillId="0" borderId="0" xfId="6" applyNumberFormat="1" applyFont="1" applyFill="1"/>
    <xf numFmtId="14" fontId="3" fillId="0" borderId="11" xfId="6" applyNumberFormat="1" applyFont="1" applyFill="1" applyBorder="1" applyAlignment="1">
      <alignment horizontal="left"/>
    </xf>
    <xf numFmtId="164" fontId="11" fillId="0" borderId="10" xfId="6" applyNumberFormat="1" applyFont="1" applyFill="1" applyBorder="1"/>
    <xf numFmtId="164" fontId="11" fillId="0" borderId="12" xfId="6" applyNumberFormat="1" applyFont="1" applyFill="1" applyBorder="1"/>
    <xf numFmtId="14" fontId="3" fillId="0" borderId="4" xfId="6" applyNumberFormat="1" applyFont="1" applyFill="1" applyBorder="1" applyAlignment="1">
      <alignment horizontal="left"/>
    </xf>
    <xf numFmtId="164" fontId="11" fillId="0" borderId="0" xfId="6" applyNumberFormat="1" applyFont="1" applyFill="1"/>
    <xf numFmtId="164" fontId="3" fillId="0" borderId="5" xfId="6" applyNumberFormat="1" applyFont="1" applyFill="1" applyBorder="1"/>
    <xf numFmtId="0" fontId="3" fillId="0" borderId="0" xfId="6" applyFont="1" applyFill="1" applyAlignment="1">
      <alignment horizontal="left"/>
    </xf>
    <xf numFmtId="0" fontId="3" fillId="0" borderId="6" xfId="6" applyFont="1" applyFill="1" applyBorder="1" applyAlignment="1">
      <alignment horizontal="left"/>
    </xf>
    <xf numFmtId="0" fontId="3" fillId="0" borderId="0" xfId="8"/>
    <xf numFmtId="14" fontId="3" fillId="0" borderId="0" xfId="8" applyNumberFormat="1" applyAlignment="1">
      <alignment horizontal="center"/>
    </xf>
    <xf numFmtId="0" fontId="3" fillId="0" borderId="0" xfId="8" applyAlignment="1">
      <alignment horizontal="center"/>
    </xf>
    <xf numFmtId="0" fontId="3" fillId="0" borderId="0" xfId="8" applyAlignment="1">
      <alignment horizontal="right"/>
    </xf>
    <xf numFmtId="43" fontId="3" fillId="0" borderId="0" xfId="8" applyNumberFormat="1"/>
    <xf numFmtId="10" fontId="3" fillId="0" borderId="0" xfId="8" applyNumberFormat="1" applyAlignment="1">
      <alignment horizontal="left"/>
    </xf>
    <xf numFmtId="7" fontId="3" fillId="0" borderId="0" xfId="8" applyNumberFormat="1"/>
    <xf numFmtId="1" fontId="3" fillId="0" borderId="0" xfId="8" applyNumberFormat="1"/>
    <xf numFmtId="43" fontId="12" fillId="0" borderId="0" xfId="6" applyNumberFormat="1" applyFont="1" applyFill="1"/>
    <xf numFmtId="10" fontId="3" fillId="0" borderId="0" xfId="8" applyNumberFormat="1"/>
    <xf numFmtId="7" fontId="12" fillId="0" borderId="0" xfId="7" applyNumberFormat="1" applyFont="1" applyFill="1" applyAlignment="1">
      <alignment horizontal="center" wrapText="1"/>
    </xf>
    <xf numFmtId="10" fontId="2" fillId="0" borderId="0" xfId="11" applyNumberFormat="1" applyFont="1" applyAlignment="1">
      <alignment horizontal="center" wrapText="1"/>
    </xf>
    <xf numFmtId="0" fontId="3" fillId="0" borderId="7" xfId="8" applyBorder="1" applyAlignment="1">
      <alignment horizontal="center"/>
    </xf>
    <xf numFmtId="43" fontId="2" fillId="0" borderId="0" xfId="12" applyFont="1" applyFill="1" applyBorder="1"/>
    <xf numFmtId="7" fontId="14" fillId="0" borderId="0" xfId="6" applyNumberFormat="1" applyFont="1" applyFill="1"/>
    <xf numFmtId="4" fontId="3" fillId="0" borderId="0" xfId="8" applyNumberFormat="1"/>
    <xf numFmtId="169" fontId="2" fillId="0" borderId="0" xfId="8" applyNumberFormat="1" applyFont="1" applyAlignment="1">
      <alignment horizontal="center"/>
    </xf>
    <xf numFmtId="169" fontId="12" fillId="0" borderId="0" xfId="8" applyNumberFormat="1" applyFont="1" applyAlignment="1">
      <alignment horizontal="center"/>
    </xf>
    <xf numFmtId="43" fontId="11" fillId="0" borderId="0" xfId="6" applyNumberFormat="1" applyFont="1" applyFill="1"/>
    <xf numFmtId="0" fontId="3" fillId="0" borderId="0" xfId="11" applyAlignment="1">
      <alignment horizontal="right"/>
    </xf>
    <xf numFmtId="7" fontId="11" fillId="0" borderId="0" xfId="6" applyNumberFormat="1" applyFont="1" applyFill="1"/>
    <xf numFmtId="0" fontId="11" fillId="0" borderId="0" xfId="6" applyFont="1" applyFill="1" applyAlignment="1">
      <alignment horizontal="left"/>
    </xf>
    <xf numFmtId="169" fontId="3" fillId="0" borderId="0" xfId="8" applyNumberFormat="1" applyAlignment="1">
      <alignment horizontal="left"/>
    </xf>
    <xf numFmtId="169" fontId="3" fillId="0" borderId="0" xfId="8" applyNumberFormat="1"/>
    <xf numFmtId="44" fontId="3" fillId="0" borderId="0" xfId="8" applyNumberFormat="1"/>
    <xf numFmtId="167" fontId="3" fillId="0" borderId="0" xfId="6" applyNumberFormat="1" applyFont="1" applyFill="1"/>
    <xf numFmtId="44" fontId="3" fillId="0" borderId="7" xfId="8" applyNumberFormat="1" applyBorder="1"/>
    <xf numFmtId="39" fontId="3" fillId="0" borderId="0" xfId="8" applyNumberFormat="1"/>
    <xf numFmtId="16" fontId="3" fillId="0" borderId="0" xfId="8" applyNumberFormat="1"/>
    <xf numFmtId="0" fontId="3" fillId="0" borderId="7" xfId="8" applyBorder="1"/>
    <xf numFmtId="15" fontId="3" fillId="0" borderId="0" xfId="8" applyNumberFormat="1"/>
    <xf numFmtId="0" fontId="3" fillId="0" borderId="0" xfId="11" applyAlignment="1">
      <alignment horizontal="left"/>
    </xf>
    <xf numFmtId="0" fontId="3" fillId="0" borderId="0" xfId="8" applyAlignment="1">
      <alignment vertical="top"/>
    </xf>
    <xf numFmtId="7" fontId="3" fillId="0" borderId="0" xfId="11" applyNumberFormat="1"/>
    <xf numFmtId="165" fontId="3" fillId="0" borderId="0" xfId="8" applyNumberFormat="1"/>
    <xf numFmtId="0" fontId="3" fillId="0" borderId="0" xfId="11" applyAlignment="1">
      <alignment horizontal="left" wrapText="1"/>
    </xf>
    <xf numFmtId="0" fontId="3" fillId="0" borderId="0" xfId="11"/>
    <xf numFmtId="0" fontId="3" fillId="0" borderId="0" xfId="8" quotePrefix="1"/>
    <xf numFmtId="39" fontId="3" fillId="0" borderId="0" xfId="8" applyNumberFormat="1" applyAlignment="1">
      <alignment horizontal="right"/>
    </xf>
    <xf numFmtId="0" fontId="3" fillId="0" borderId="0" xfId="8" applyAlignment="1">
      <alignment horizontal="center" wrapText="1"/>
    </xf>
    <xf numFmtId="2" fontId="3" fillId="0" borderId="0" xfId="8" applyNumberFormat="1"/>
    <xf numFmtId="0" fontId="3" fillId="0" borderId="11" xfId="6" applyFont="1" applyFill="1" applyBorder="1" applyAlignment="1">
      <alignment horizontal="left"/>
    </xf>
    <xf numFmtId="164" fontId="3" fillId="0" borderId="10" xfId="6" applyNumberFormat="1" applyFont="1" applyFill="1" applyBorder="1"/>
    <xf numFmtId="164" fontId="3" fillId="0" borderId="12" xfId="6" applyNumberFormat="1" applyFont="1" applyFill="1" applyBorder="1"/>
    <xf numFmtId="164" fontId="3" fillId="0" borderId="0" xfId="6" applyNumberFormat="1" applyFont="1" applyFill="1"/>
    <xf numFmtId="0" fontId="3" fillId="0" borderId="4" xfId="6" applyFont="1" applyFill="1" applyBorder="1" applyAlignment="1">
      <alignment horizontal="left"/>
    </xf>
    <xf numFmtId="0" fontId="2" fillId="0" borderId="0" xfId="15" applyFont="1" applyAlignment="1">
      <alignment horizontal="center" wrapText="1"/>
    </xf>
    <xf numFmtId="0" fontId="3" fillId="0" borderId="0" xfId="15"/>
    <xf numFmtId="7" fontId="2" fillId="0" borderId="0" xfId="15" applyNumberFormat="1" applyFont="1"/>
    <xf numFmtId="173" fontId="3" fillId="0" borderId="0" xfId="15" applyNumberFormat="1"/>
    <xf numFmtId="7" fontId="3" fillId="0" borderId="0" xfId="15" applyNumberFormat="1"/>
    <xf numFmtId="10" fontId="3" fillId="0" borderId="0" xfId="15" applyNumberFormat="1"/>
    <xf numFmtId="0" fontId="2" fillId="0" borderId="0" xfId="6" applyFont="1" applyFill="1" applyAlignment="1">
      <alignment horizontal="center"/>
    </xf>
    <xf numFmtId="10" fontId="3" fillId="0" borderId="7" xfId="15" applyNumberFormat="1" applyBorder="1"/>
    <xf numFmtId="7" fontId="3" fillId="0" borderId="7" xfId="15" applyNumberFormat="1" applyBorder="1"/>
    <xf numFmtId="0" fontId="2" fillId="0" borderId="0" xfId="15" applyFont="1"/>
    <xf numFmtId="0" fontId="3" fillId="0" borderId="0" xfId="15" applyAlignment="1">
      <alignment horizontal="right"/>
    </xf>
    <xf numFmtId="7" fontId="3" fillId="0" borderId="5" xfId="15" applyNumberFormat="1" applyBorder="1"/>
    <xf numFmtId="0" fontId="3" fillId="0" borderId="5" xfId="15" applyBorder="1"/>
    <xf numFmtId="0" fontId="3" fillId="0" borderId="0" xfId="6" applyFont="1" applyFill="1" applyAlignment="1">
      <alignment horizontal="center"/>
    </xf>
    <xf numFmtId="43" fontId="3" fillId="0" borderId="0" xfId="6" applyNumberFormat="1" applyFont="1" applyFill="1"/>
    <xf numFmtId="0" fontId="2" fillId="0" borderId="0" xfId="6" applyFont="1" applyFill="1"/>
    <xf numFmtId="44" fontId="2" fillId="0" borderId="0" xfId="6" applyNumberFormat="1" applyFont="1" applyFill="1"/>
    <xf numFmtId="0" fontId="3" fillId="0" borderId="0" xfId="6" applyFont="1" applyFill="1" applyAlignment="1">
      <alignment horizontal="right"/>
    </xf>
    <xf numFmtId="0" fontId="2" fillId="0" borderId="0" xfId="15" applyFont="1" applyAlignment="1">
      <alignment wrapText="1"/>
    </xf>
    <xf numFmtId="9" fontId="3" fillId="0" borderId="0" xfId="15" applyNumberFormat="1"/>
    <xf numFmtId="37" fontId="3" fillId="0" borderId="0" xfId="15" applyNumberFormat="1" applyAlignment="1">
      <alignment horizontal="center"/>
    </xf>
    <xf numFmtId="0" fontId="2" fillId="0" borderId="7" xfId="8" applyFont="1" applyBorder="1" applyAlignment="1">
      <alignment horizontal="center"/>
    </xf>
    <xf numFmtId="0" fontId="3" fillId="0" borderId="0" xfId="11" applyAlignment="1">
      <alignment horizontal="left" wrapText="1"/>
    </xf>
    <xf numFmtId="0" fontId="3" fillId="0" borderId="0" xfId="8" applyAlignment="1">
      <alignment horizontal="center" wrapText="1"/>
    </xf>
  </cellXfs>
  <cellStyles count="16">
    <cellStyle name="Comma" xfId="1" builtinId="3"/>
    <cellStyle name="Comma 4" xfId="12" xr:uid="{00000000-0005-0000-0000-000001000000}"/>
    <cellStyle name="Comma 5" xfId="13" xr:uid="{00000000-0005-0000-0000-000002000000}"/>
    <cellStyle name="Comma_Aggregare" xfId="5" xr:uid="{00000000-0005-0000-0000-000003000000}"/>
    <cellStyle name="Currency" xfId="2" builtinId="4"/>
    <cellStyle name="Currency 3" xfId="10" xr:uid="{00000000-0005-0000-0000-000005000000}"/>
    <cellStyle name="Normal" xfId="0" builtinId="0"/>
    <cellStyle name="Normal 4" xfId="8" xr:uid="{00000000-0005-0000-0000-000007000000}"/>
    <cellStyle name="Normal 4 2" xfId="11" xr:uid="{00000000-0005-0000-0000-000008000000}"/>
    <cellStyle name="Normal_Aggregare" xfId="4" xr:uid="{00000000-0005-0000-0000-000009000000}"/>
    <cellStyle name="Normal_Aggregare 2" xfId="6" xr:uid="{00000000-0005-0000-0000-00000A000000}"/>
    <cellStyle name="Normal_Aggregare 2 2" xfId="7" xr:uid="{00000000-0005-0000-0000-00000B000000}"/>
    <cellStyle name="Normal_sheet" xfId="15" xr:uid="{00000000-0005-0000-0000-00000C000000}"/>
    <cellStyle name="Percent" xfId="3" builtinId="5"/>
    <cellStyle name="Percent 3" xfId="9" xr:uid="{00000000-0005-0000-0000-00000E000000}"/>
    <cellStyle name="Percent 4" xfId="14" xr:uid="{00000000-0005-0000-0000-00000F000000}"/>
  </cellStyles>
  <dxfs count="17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CORP\TREASURY\EXCEL\N%20M%20O%20T%20R\Apr24\NMOTR%2024-B%20April24.xlsx" TargetMode="External"/><Relationship Id="rId1" Type="http://schemas.openxmlformats.org/officeDocument/2006/relationships/externalLinkPath" Target="/CORP/TREASURY/EXCEL/N%20M%20O%20T%20R/Apr24/NMOTR%2024-B%20April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gregate"/>
      <sheetName val="2024-B"/>
      <sheetName val="Pool Data"/>
      <sheetName val="Waterfall"/>
    </sheetNames>
    <sheetDataSet>
      <sheetData sheetId="0" refreshError="1"/>
      <sheetData sheetId="1" refreshError="1"/>
      <sheetData sheetId="2" refreshError="1"/>
      <sheetData sheetId="3">
        <row r="29">
          <cell r="I29">
            <v>293684.90000000037</v>
          </cell>
        </row>
        <row r="33">
          <cell r="I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1FD3-E860-42CD-A08D-A13F7C906B3B}">
  <sheetPr>
    <pageSetUpPr fitToPage="1"/>
  </sheetPr>
  <dimension ref="A1:S69"/>
  <sheetViews>
    <sheetView workbookViewId="0">
      <selection activeCell="D57" sqref="D57"/>
    </sheetView>
  </sheetViews>
  <sheetFormatPr defaultColWidth="16.54296875" defaultRowHeight="12.5" x14ac:dyDescent="0.25"/>
  <cols>
    <col min="1" max="1" width="16.54296875" style="1"/>
    <col min="2" max="2" width="19.54296875" style="1" customWidth="1"/>
    <col min="3" max="3" width="21.81640625" style="1" customWidth="1"/>
    <col min="4" max="4" width="19.1796875" style="1" bestFit="1" customWidth="1"/>
    <col min="5" max="5" width="26.81640625" style="1" customWidth="1"/>
    <col min="6" max="6" width="25.1796875" style="1" customWidth="1"/>
    <col min="7" max="7" width="23.1796875" style="1" customWidth="1"/>
    <col min="8" max="8" width="19.81640625" style="1" customWidth="1"/>
    <col min="9" max="9" width="19.7265625" style="1" bestFit="1" customWidth="1"/>
    <col min="10" max="10" width="20.81640625" style="1" bestFit="1" customWidth="1"/>
    <col min="11" max="11" width="18.81640625" style="1" bestFit="1" customWidth="1"/>
    <col min="12" max="12" width="21.453125" style="1" bestFit="1" customWidth="1"/>
    <col min="13" max="16384" width="16.54296875" style="1"/>
  </cols>
  <sheetData>
    <row r="1" spans="1:19" ht="13" x14ac:dyDescent="0.3">
      <c r="A1" s="109" t="s">
        <v>0</v>
      </c>
      <c r="G1" s="110"/>
      <c r="H1" s="110"/>
      <c r="K1" s="8"/>
    </row>
    <row r="2" spans="1:19" x14ac:dyDescent="0.25">
      <c r="G2" s="110"/>
      <c r="H2" s="110"/>
      <c r="K2" s="8"/>
    </row>
    <row r="3" spans="1:19" ht="13" x14ac:dyDescent="0.3">
      <c r="A3" s="111" t="s">
        <v>1</v>
      </c>
      <c r="B3" s="112" t="s">
        <v>2</v>
      </c>
      <c r="C3" s="112" t="s">
        <v>3</v>
      </c>
      <c r="D3" s="113" t="s">
        <v>4</v>
      </c>
      <c r="G3" s="110"/>
      <c r="H3" s="110"/>
      <c r="K3" s="114"/>
    </row>
    <row r="4" spans="1:19" x14ac:dyDescent="0.25">
      <c r="A4" s="115" t="s">
        <v>5</v>
      </c>
      <c r="B4" s="116">
        <v>45413</v>
      </c>
      <c r="C4" s="117">
        <v>45427</v>
      </c>
      <c r="D4" s="118">
        <v>45460</v>
      </c>
      <c r="G4" s="110"/>
      <c r="H4" s="110"/>
    </row>
    <row r="5" spans="1:19" x14ac:dyDescent="0.25">
      <c r="A5" s="115" t="s">
        <v>6</v>
      </c>
      <c r="B5" s="117">
        <v>45443</v>
      </c>
      <c r="C5" s="117">
        <v>45460</v>
      </c>
      <c r="D5" s="118"/>
      <c r="L5" s="119"/>
    </row>
    <row r="6" spans="1:19" x14ac:dyDescent="0.25">
      <c r="A6" s="120" t="s">
        <v>7</v>
      </c>
      <c r="B6" s="2"/>
      <c r="C6" s="2"/>
      <c r="D6" s="121"/>
      <c r="L6" s="119"/>
    </row>
    <row r="7" spans="1:19" x14ac:dyDescent="0.25">
      <c r="A7" s="119"/>
      <c r="C7" s="119"/>
      <c r="F7" s="122"/>
      <c r="J7" s="3"/>
      <c r="K7" s="4"/>
    </row>
    <row r="8" spans="1:19" ht="13" x14ac:dyDescent="0.3">
      <c r="A8" s="123" t="s">
        <v>8</v>
      </c>
      <c r="C8" s="119"/>
      <c r="F8" s="122"/>
      <c r="G8" s="13"/>
      <c r="J8" s="3"/>
      <c r="K8" s="4"/>
    </row>
    <row r="9" spans="1:19" ht="13" x14ac:dyDescent="0.3">
      <c r="A9" s="7"/>
      <c r="B9" s="7"/>
      <c r="C9" s="124"/>
      <c r="D9" s="124"/>
      <c r="E9" s="124"/>
      <c r="F9" s="124"/>
      <c r="G9" s="124"/>
      <c r="H9" s="124"/>
      <c r="I9" s="124"/>
      <c r="J9" s="5"/>
      <c r="K9" s="124"/>
      <c r="M9" s="124"/>
      <c r="O9" s="124"/>
      <c r="P9" s="124"/>
      <c r="S9" s="124"/>
    </row>
    <row r="10" spans="1:19" ht="39" x14ac:dyDescent="0.3">
      <c r="A10" s="125" t="s">
        <v>9</v>
      </c>
      <c r="B10" s="126"/>
      <c r="C10" s="127" t="s">
        <v>10</v>
      </c>
      <c r="D10" s="127" t="s">
        <v>11</v>
      </c>
      <c r="E10" s="127" t="s">
        <v>12</v>
      </c>
      <c r="F10" s="127" t="s">
        <v>13</v>
      </c>
      <c r="G10" s="127" t="s">
        <v>14</v>
      </c>
      <c r="H10" s="127" t="s">
        <v>15</v>
      </c>
      <c r="I10" s="127" t="s">
        <v>16</v>
      </c>
      <c r="J10" s="127" t="s">
        <v>17</v>
      </c>
      <c r="K10" s="127" t="s">
        <v>18</v>
      </c>
      <c r="M10" s="124"/>
      <c r="O10" s="124"/>
      <c r="P10" s="124"/>
      <c r="S10" s="124"/>
    </row>
    <row r="11" spans="1:19" x14ac:dyDescent="0.25">
      <c r="A11" s="1" t="s">
        <v>171</v>
      </c>
      <c r="C11" s="13">
        <v>500000000</v>
      </c>
      <c r="D11" s="13">
        <v>0</v>
      </c>
      <c r="E11" s="128">
        <v>500000000</v>
      </c>
      <c r="F11" s="128">
        <v>113496000.00000004</v>
      </c>
      <c r="G11" s="128">
        <v>613496000</v>
      </c>
      <c r="H11" s="13">
        <v>0</v>
      </c>
      <c r="I11" s="129">
        <v>441820084.995</v>
      </c>
      <c r="J11" s="129">
        <v>1055316084.995</v>
      </c>
      <c r="K11" s="9">
        <v>0.5</v>
      </c>
      <c r="L11" s="6"/>
      <c r="O11" s="130"/>
      <c r="P11" s="130"/>
      <c r="S11" s="130"/>
    </row>
    <row r="12" spans="1:19" x14ac:dyDescent="0.25">
      <c r="A12" s="1" t="s">
        <v>172</v>
      </c>
      <c r="C12" s="13">
        <v>500000000</v>
      </c>
      <c r="D12" s="13">
        <v>0</v>
      </c>
      <c r="E12" s="128">
        <v>500000000</v>
      </c>
      <c r="F12" s="128">
        <v>113496000.00000004</v>
      </c>
      <c r="G12" s="128">
        <v>613496000</v>
      </c>
      <c r="H12" s="13">
        <v>0</v>
      </c>
      <c r="I12" s="129">
        <v>441820084.995</v>
      </c>
      <c r="J12" s="129">
        <v>1055316084.995</v>
      </c>
      <c r="K12" s="9">
        <v>0.5</v>
      </c>
      <c r="L12" s="6"/>
      <c r="O12" s="130"/>
      <c r="P12" s="130"/>
      <c r="S12" s="130"/>
    </row>
    <row r="13" spans="1:19" ht="3" customHeight="1" x14ac:dyDescent="0.25">
      <c r="C13" s="13"/>
      <c r="D13" s="13"/>
      <c r="E13" s="128"/>
      <c r="F13" s="128"/>
      <c r="G13" s="128"/>
      <c r="H13" s="13"/>
      <c r="I13" s="129"/>
      <c r="J13" s="129"/>
      <c r="K13" s="9"/>
      <c r="L13" s="6"/>
      <c r="O13" s="130"/>
      <c r="P13" s="130"/>
      <c r="S13" s="130"/>
    </row>
    <row r="14" spans="1:19" s="7" customFormat="1" ht="13" x14ac:dyDescent="0.3">
      <c r="A14" s="131" t="s">
        <v>19</v>
      </c>
      <c r="B14" s="132"/>
      <c r="C14" s="133">
        <v>1000000000</v>
      </c>
      <c r="D14" s="133">
        <v>0</v>
      </c>
      <c r="E14" s="134">
        <v>1000000000</v>
      </c>
      <c r="F14" s="134">
        <v>226992000.00000009</v>
      </c>
      <c r="G14" s="134">
        <v>1226992000</v>
      </c>
      <c r="H14" s="133">
        <v>0</v>
      </c>
      <c r="I14" s="133">
        <v>883640169.99000001</v>
      </c>
      <c r="J14" s="133">
        <v>2110632169.99</v>
      </c>
      <c r="K14" s="135">
        <v>1</v>
      </c>
      <c r="L14" s="136"/>
      <c r="O14" s="136"/>
      <c r="P14" s="136"/>
      <c r="S14" s="137"/>
    </row>
    <row r="15" spans="1:19" x14ac:dyDescent="0.25">
      <c r="H15" s="8"/>
      <c r="I15" s="8"/>
      <c r="J15" s="8"/>
      <c r="K15" s="9"/>
    </row>
    <row r="16" spans="1:19" ht="13" x14ac:dyDescent="0.3">
      <c r="A16" s="123" t="s">
        <v>20</v>
      </c>
      <c r="C16" s="119"/>
      <c r="G16" s="13"/>
      <c r="H16" s="8"/>
      <c r="I16" s="8"/>
      <c r="J16" s="8"/>
      <c r="K16" s="9"/>
    </row>
    <row r="17" spans="1:19" ht="13" x14ac:dyDescent="0.3">
      <c r="F17" s="123"/>
      <c r="G17" s="13"/>
      <c r="H17" s="8"/>
      <c r="I17" s="8"/>
      <c r="J17" s="8"/>
      <c r="K17" s="9"/>
    </row>
    <row r="18" spans="1:19" ht="39" x14ac:dyDescent="0.3">
      <c r="A18" s="125" t="s">
        <v>9</v>
      </c>
      <c r="B18" s="126"/>
      <c r="C18" s="127" t="s">
        <v>10</v>
      </c>
      <c r="D18" s="127" t="s">
        <v>11</v>
      </c>
      <c r="E18" s="127" t="s">
        <v>12</v>
      </c>
      <c r="F18" s="127" t="s">
        <v>21</v>
      </c>
      <c r="G18" s="127" t="s">
        <v>14</v>
      </c>
      <c r="H18" s="127" t="s">
        <v>15</v>
      </c>
      <c r="I18" s="127" t="s">
        <v>16</v>
      </c>
      <c r="J18" s="127" t="s">
        <v>17</v>
      </c>
      <c r="K18" s="138" t="s">
        <v>18</v>
      </c>
      <c r="M18" s="124"/>
      <c r="O18" s="124"/>
      <c r="P18" s="124"/>
      <c r="S18" s="124"/>
    </row>
    <row r="19" spans="1:19" x14ac:dyDescent="0.25">
      <c r="A19" s="1" t="s">
        <v>171</v>
      </c>
      <c r="C19" s="13">
        <v>500000000</v>
      </c>
      <c r="D19" s="13">
        <v>0</v>
      </c>
      <c r="E19" s="13">
        <v>500000000</v>
      </c>
      <c r="F19" s="10">
        <v>113496000.00000004</v>
      </c>
      <c r="G19" s="13">
        <v>613496000</v>
      </c>
      <c r="H19" s="13">
        <v>0</v>
      </c>
      <c r="I19" s="139">
        <v>378075268.48500013</v>
      </c>
      <c r="J19" s="129">
        <v>991571268.48500013</v>
      </c>
      <c r="K19" s="9">
        <v>0.5</v>
      </c>
      <c r="L19" s="6"/>
      <c r="M19" s="10"/>
      <c r="O19" s="130"/>
      <c r="P19" s="130"/>
      <c r="S19" s="130"/>
    </row>
    <row r="20" spans="1:19" x14ac:dyDescent="0.25">
      <c r="A20" s="1" t="s">
        <v>172</v>
      </c>
      <c r="C20" s="13">
        <v>500000000</v>
      </c>
      <c r="D20" s="13">
        <v>0</v>
      </c>
      <c r="E20" s="13">
        <v>500000000</v>
      </c>
      <c r="F20" s="10">
        <v>113496000.00000004</v>
      </c>
      <c r="G20" s="13">
        <v>613496000</v>
      </c>
      <c r="H20" s="13">
        <v>0</v>
      </c>
      <c r="I20" s="139">
        <v>378075268.48500013</v>
      </c>
      <c r="J20" s="129">
        <v>991571268.48500013</v>
      </c>
      <c r="K20" s="9">
        <v>0.5</v>
      </c>
      <c r="L20" s="11"/>
      <c r="M20" s="10"/>
      <c r="O20" s="130"/>
      <c r="P20" s="130"/>
      <c r="S20" s="130"/>
    </row>
    <row r="21" spans="1:19" ht="3.75" customHeight="1" x14ac:dyDescent="0.25">
      <c r="C21" s="13"/>
      <c r="D21" s="13"/>
      <c r="E21" s="13"/>
      <c r="F21" s="10"/>
      <c r="G21" s="13"/>
      <c r="H21" s="13"/>
      <c r="I21" s="140"/>
      <c r="J21" s="129"/>
      <c r="K21" s="9"/>
      <c r="L21" s="6"/>
      <c r="M21" s="10"/>
      <c r="O21" s="130"/>
      <c r="P21" s="130"/>
      <c r="S21" s="130"/>
    </row>
    <row r="22" spans="1:19" s="7" customFormat="1" ht="13" x14ac:dyDescent="0.3">
      <c r="A22" s="131" t="s">
        <v>19</v>
      </c>
      <c r="B22" s="132"/>
      <c r="C22" s="141">
        <v>1000000000</v>
      </c>
      <c r="D22" s="141">
        <v>0</v>
      </c>
      <c r="E22" s="141">
        <v>1000000000</v>
      </c>
      <c r="F22" s="141">
        <v>226992000.00000009</v>
      </c>
      <c r="G22" s="141">
        <v>1226992000</v>
      </c>
      <c r="H22" s="133">
        <v>0</v>
      </c>
      <c r="I22" s="133">
        <v>756150536.97000027</v>
      </c>
      <c r="J22" s="133">
        <v>1983142536.9700003</v>
      </c>
      <c r="K22" s="12">
        <v>1</v>
      </c>
      <c r="L22" s="136"/>
      <c r="O22" s="136"/>
      <c r="P22" s="136"/>
      <c r="S22" s="137"/>
    </row>
    <row r="23" spans="1:19" ht="13" x14ac:dyDescent="0.3">
      <c r="A23" s="123"/>
      <c r="C23" s="13"/>
      <c r="D23" s="13"/>
      <c r="E23" s="13"/>
      <c r="F23" s="13"/>
      <c r="G23" s="13"/>
      <c r="H23" s="13"/>
      <c r="I23" s="13"/>
      <c r="J23" s="13"/>
      <c r="K23" s="142"/>
      <c r="L23" s="13"/>
      <c r="O23" s="13"/>
      <c r="P23" s="13"/>
      <c r="S23" s="143"/>
    </row>
    <row r="24" spans="1:19" ht="13" x14ac:dyDescent="0.3">
      <c r="A24" s="123"/>
      <c r="C24" s="13"/>
      <c r="D24" s="13"/>
      <c r="E24" s="13"/>
      <c r="F24" s="13"/>
      <c r="G24" s="13"/>
      <c r="H24" s="13"/>
      <c r="I24" s="13"/>
      <c r="J24" s="13"/>
      <c r="K24" s="142"/>
      <c r="L24" s="13"/>
      <c r="O24" s="13"/>
      <c r="P24" s="13"/>
      <c r="S24" s="143"/>
    </row>
    <row r="25" spans="1:19" ht="13" x14ac:dyDescent="0.3">
      <c r="A25" s="123" t="s">
        <v>22</v>
      </c>
      <c r="C25" s="13"/>
      <c r="E25" s="13"/>
      <c r="F25" s="10"/>
      <c r="G25" s="123" t="s">
        <v>23</v>
      </c>
      <c r="K25" s="8"/>
    </row>
    <row r="26" spans="1:19" x14ac:dyDescent="0.25">
      <c r="A26" s="119" t="s">
        <v>24</v>
      </c>
      <c r="C26" s="13"/>
      <c r="D26" s="13">
        <v>2596289608.52</v>
      </c>
      <c r="E26" s="13"/>
      <c r="F26" s="13"/>
      <c r="G26" s="119" t="s">
        <v>25</v>
      </c>
      <c r="J26" s="128">
        <v>14897062.840000002</v>
      </c>
      <c r="K26" s="14"/>
      <c r="L26" s="10"/>
    </row>
    <row r="27" spans="1:19" ht="13" x14ac:dyDescent="0.3">
      <c r="A27" s="119" t="s">
        <v>26</v>
      </c>
      <c r="C27" s="13"/>
      <c r="D27" s="13">
        <v>1053894253.09</v>
      </c>
      <c r="E27" s="13"/>
      <c r="F27" s="13"/>
      <c r="G27" s="145" t="s">
        <v>27</v>
      </c>
      <c r="J27" s="146">
        <v>17917321.710000001</v>
      </c>
      <c r="L27" s="10"/>
    </row>
    <row r="28" spans="1:19" ht="13" x14ac:dyDescent="0.3">
      <c r="B28" s="145" t="s">
        <v>28</v>
      </c>
      <c r="C28" s="13"/>
      <c r="D28" s="146">
        <v>1053894253.09</v>
      </c>
      <c r="E28" s="13"/>
      <c r="F28" s="13"/>
      <c r="G28" s="145" t="s">
        <v>29</v>
      </c>
      <c r="J28" s="146">
        <v>-3133259.04</v>
      </c>
      <c r="L28" s="10"/>
    </row>
    <row r="29" spans="1:19" ht="13" x14ac:dyDescent="0.3">
      <c r="B29" s="145" t="s">
        <v>30</v>
      </c>
      <c r="C29" s="13"/>
      <c r="D29" s="146">
        <v>0</v>
      </c>
      <c r="E29" s="13"/>
      <c r="F29" s="13"/>
      <c r="G29" s="145" t="s">
        <v>31</v>
      </c>
      <c r="J29" s="146">
        <v>0</v>
      </c>
      <c r="K29" s="15"/>
      <c r="L29" s="10"/>
    </row>
    <row r="30" spans="1:19" ht="13" x14ac:dyDescent="0.3">
      <c r="B30" s="145" t="s">
        <v>32</v>
      </c>
      <c r="C30" s="13"/>
      <c r="D30" s="146">
        <v>0</v>
      </c>
      <c r="E30" s="13"/>
      <c r="F30" s="13"/>
      <c r="G30" s="119" t="s">
        <v>33</v>
      </c>
      <c r="J30" s="13">
        <v>0</v>
      </c>
      <c r="K30" s="15"/>
      <c r="L30" s="10"/>
    </row>
    <row r="31" spans="1:19" x14ac:dyDescent="0.25">
      <c r="A31" s="15" t="s">
        <v>34</v>
      </c>
      <c r="D31" s="13">
        <v>940818549.92000008</v>
      </c>
      <c r="E31" s="13"/>
      <c r="F31" s="13"/>
      <c r="G31" s="119" t="s">
        <v>35</v>
      </c>
      <c r="J31" s="128">
        <v>113000.17000000001</v>
      </c>
      <c r="L31" s="10"/>
    </row>
    <row r="32" spans="1:19" x14ac:dyDescent="0.25">
      <c r="A32" s="119" t="s">
        <v>36</v>
      </c>
      <c r="D32" s="13">
        <v>0</v>
      </c>
      <c r="E32" s="147"/>
      <c r="F32" s="16"/>
      <c r="L32" s="10"/>
    </row>
    <row r="33" spans="1:12" ht="13" x14ac:dyDescent="0.3">
      <c r="A33" s="119" t="s">
        <v>37</v>
      </c>
      <c r="D33" s="13">
        <v>8690791.0299999993</v>
      </c>
      <c r="E33" s="147"/>
      <c r="F33" s="16">
        <v>0</v>
      </c>
      <c r="G33" s="123" t="s">
        <v>38</v>
      </c>
      <c r="L33" s="10"/>
    </row>
    <row r="34" spans="1:12" x14ac:dyDescent="0.25">
      <c r="A34" s="119" t="s">
        <v>39</v>
      </c>
      <c r="D34" s="13">
        <v>0</v>
      </c>
      <c r="E34" s="17"/>
      <c r="G34" s="1" t="s">
        <v>25</v>
      </c>
      <c r="J34" s="128">
        <v>14897062.840000002</v>
      </c>
      <c r="L34" s="10"/>
    </row>
    <row r="35" spans="1:12" ht="13" x14ac:dyDescent="0.3">
      <c r="A35" s="123" t="s">
        <v>40</v>
      </c>
      <c r="B35" s="7"/>
      <c r="C35" s="7"/>
      <c r="D35" s="141">
        <v>2474523114.3200002</v>
      </c>
      <c r="E35" s="18"/>
      <c r="F35" s="148">
        <v>2474523114.3199997</v>
      </c>
      <c r="G35" s="119" t="s">
        <v>41</v>
      </c>
      <c r="J35" s="10">
        <v>2046887353.48</v>
      </c>
      <c r="L35" s="10"/>
    </row>
    <row r="36" spans="1:12" x14ac:dyDescent="0.25">
      <c r="A36" s="1" t="s">
        <v>42</v>
      </c>
      <c r="D36" s="13">
        <v>-491278732.35000002</v>
      </c>
      <c r="E36" s="15"/>
      <c r="F36" s="16"/>
      <c r="G36" s="119" t="s">
        <v>43</v>
      </c>
      <c r="I36" s="3"/>
      <c r="J36" s="149">
        <v>360</v>
      </c>
      <c r="L36" s="10"/>
    </row>
    <row r="37" spans="1:12" x14ac:dyDescent="0.25">
      <c r="A37" s="1" t="s">
        <v>44</v>
      </c>
      <c r="D37" s="13">
        <v>-101845</v>
      </c>
      <c r="E37" s="15"/>
      <c r="F37" s="17"/>
      <c r="G37" s="150" t="s">
        <v>45</v>
      </c>
      <c r="H37" s="150"/>
      <c r="I37" s="19"/>
      <c r="J37" s="150">
        <v>31</v>
      </c>
      <c r="L37" s="10"/>
    </row>
    <row r="38" spans="1:12" ht="13" x14ac:dyDescent="0.3">
      <c r="A38" s="7" t="s">
        <v>46</v>
      </c>
      <c r="D38" s="20">
        <v>1983142536.9700003</v>
      </c>
      <c r="E38" s="21"/>
      <c r="F38" s="17"/>
      <c r="G38" s="7" t="s">
        <v>47</v>
      </c>
      <c r="H38" s="7"/>
      <c r="I38" s="7"/>
      <c r="J38" s="151">
        <v>8.4517669629232864E-2</v>
      </c>
      <c r="L38" s="10"/>
    </row>
    <row r="39" spans="1:12" x14ac:dyDescent="0.25">
      <c r="B39" s="10"/>
      <c r="D39" s="21"/>
      <c r="E39" s="18"/>
      <c r="F39" s="10"/>
      <c r="G39" s="119" t="s">
        <v>48</v>
      </c>
      <c r="J39" s="152">
        <v>0.01</v>
      </c>
      <c r="L39" s="10"/>
    </row>
    <row r="40" spans="1:12" x14ac:dyDescent="0.25">
      <c r="A40" s="119" t="s">
        <v>49</v>
      </c>
      <c r="D40" s="10">
        <v>2046887353.48</v>
      </c>
      <c r="E40" s="22"/>
      <c r="F40" s="10"/>
      <c r="L40" s="10"/>
    </row>
    <row r="41" spans="1:12" x14ac:dyDescent="0.25">
      <c r="A41" s="119" t="s">
        <v>50</v>
      </c>
      <c r="D41" s="143">
        <v>0.51487652766930714</v>
      </c>
      <c r="E41" s="152"/>
      <c r="F41" s="10"/>
      <c r="L41" s="10"/>
    </row>
    <row r="42" spans="1:12" x14ac:dyDescent="0.25">
      <c r="A42" s="119" t="s">
        <v>51</v>
      </c>
      <c r="D42" s="143">
        <v>0.48914823819076614</v>
      </c>
      <c r="E42" s="15"/>
      <c r="F42" s="10"/>
      <c r="G42" s="119" t="s">
        <v>52</v>
      </c>
      <c r="H42" s="119"/>
      <c r="I42" s="23"/>
      <c r="J42" s="153">
        <v>7.4517669629232869E-2</v>
      </c>
      <c r="L42" s="24"/>
    </row>
    <row r="43" spans="1:12" x14ac:dyDescent="0.25">
      <c r="A43" s="119" t="s">
        <v>53</v>
      </c>
      <c r="D43" s="143">
        <v>0.51774097293882271</v>
      </c>
      <c r="E43" s="15"/>
      <c r="F43" s="10"/>
      <c r="G43" s="119" t="s">
        <v>54</v>
      </c>
      <c r="J43" s="19">
        <v>5.5218549999999998E-2</v>
      </c>
      <c r="K43" s="25"/>
      <c r="L43" s="152"/>
    </row>
    <row r="44" spans="1:12" ht="13" x14ac:dyDescent="0.3">
      <c r="A44" s="119" t="s">
        <v>55</v>
      </c>
      <c r="D44" s="143">
        <v>0.4968293037</v>
      </c>
      <c r="E44" s="13"/>
      <c r="F44" s="10"/>
      <c r="G44" s="123" t="s">
        <v>56</v>
      </c>
      <c r="H44" s="7"/>
      <c r="I44" s="7"/>
      <c r="J44" s="154">
        <v>1.9299119629232871E-2</v>
      </c>
      <c r="L44" s="10"/>
    </row>
    <row r="45" spans="1:12" x14ac:dyDescent="0.25">
      <c r="A45" s="119" t="s">
        <v>57</v>
      </c>
      <c r="D45" s="143">
        <v>0.49666372120000002</v>
      </c>
      <c r="E45" s="152"/>
      <c r="F45" s="10"/>
      <c r="L45" s="10"/>
    </row>
    <row r="46" spans="1:12" x14ac:dyDescent="0.25">
      <c r="A46" s="119" t="s">
        <v>58</v>
      </c>
      <c r="D46" s="143">
        <v>0.43978822810000001</v>
      </c>
      <c r="E46" s="18"/>
      <c r="F46" s="10"/>
    </row>
    <row r="47" spans="1:12" x14ac:dyDescent="0.25">
      <c r="A47" s="119" t="s">
        <v>59</v>
      </c>
      <c r="D47" s="143">
        <v>0.5072552462662987</v>
      </c>
      <c r="E47" s="152"/>
      <c r="F47" s="10"/>
    </row>
    <row r="48" spans="1:12" x14ac:dyDescent="0.25">
      <c r="A48" s="1" t="s">
        <v>60</v>
      </c>
      <c r="D48" s="143">
        <v>0.49250783196648268</v>
      </c>
      <c r="F48" s="10"/>
    </row>
    <row r="49" spans="1:6" x14ac:dyDescent="0.25">
      <c r="F49" s="10"/>
    </row>
    <row r="50" spans="1:6" x14ac:dyDescent="0.25">
      <c r="A50" s="119" t="s">
        <v>61</v>
      </c>
      <c r="D50" s="128">
        <v>322904768.19</v>
      </c>
      <c r="E50" s="6"/>
      <c r="F50" s="10"/>
    </row>
    <row r="51" spans="1:6" x14ac:dyDescent="0.25">
      <c r="A51" s="119" t="s">
        <v>62</v>
      </c>
      <c r="D51" s="155">
        <v>0.16282479053843454</v>
      </c>
      <c r="F51" s="10"/>
    </row>
    <row r="52" spans="1:6" x14ac:dyDescent="0.25">
      <c r="F52" s="10"/>
    </row>
    <row r="53" spans="1:6" x14ac:dyDescent="0.25">
      <c r="A53" s="119" t="s">
        <v>63</v>
      </c>
      <c r="D53" s="10">
        <v>0</v>
      </c>
      <c r="E53" s="13"/>
      <c r="F53" s="10"/>
    </row>
    <row r="54" spans="1:6" x14ac:dyDescent="0.25">
      <c r="E54" s="13"/>
      <c r="F54" s="10"/>
    </row>
    <row r="55" spans="1:6" x14ac:dyDescent="0.25">
      <c r="A55" s="119" t="s">
        <v>64</v>
      </c>
      <c r="D55" s="128">
        <v>0</v>
      </c>
      <c r="E55" s="13"/>
      <c r="F55" s="10"/>
    </row>
    <row r="56" spans="1:6" x14ac:dyDescent="0.25">
      <c r="A56" s="119" t="s">
        <v>65</v>
      </c>
      <c r="D56" s="128">
        <v>0</v>
      </c>
      <c r="F56" s="10"/>
    </row>
    <row r="57" spans="1:6" x14ac:dyDescent="0.25">
      <c r="A57" s="119" t="s">
        <v>66</v>
      </c>
      <c r="D57" s="13">
        <v>0</v>
      </c>
      <c r="E57" s="1" t="s">
        <v>67</v>
      </c>
      <c r="F57" s="10"/>
    </row>
    <row r="58" spans="1:6" x14ac:dyDescent="0.25">
      <c r="A58" s="119" t="s">
        <v>68</v>
      </c>
      <c r="D58" s="152">
        <v>0</v>
      </c>
      <c r="E58" s="1" t="s">
        <v>67</v>
      </c>
      <c r="F58" s="10"/>
    </row>
    <row r="59" spans="1:6" x14ac:dyDescent="0.25">
      <c r="A59" s="26"/>
      <c r="F59" s="10"/>
    </row>
    <row r="60" spans="1:6" ht="13" x14ac:dyDescent="0.3">
      <c r="A60" s="123" t="s">
        <v>69</v>
      </c>
    </row>
    <row r="61" spans="1:6" x14ac:dyDescent="0.25">
      <c r="A61" s="119" t="s">
        <v>26</v>
      </c>
      <c r="D61" s="13">
        <v>1053894253.09</v>
      </c>
    </row>
    <row r="62" spans="1:6" x14ac:dyDescent="0.25">
      <c r="A62" s="119" t="s">
        <v>25</v>
      </c>
      <c r="D62" s="13">
        <v>14897062.840000002</v>
      </c>
    </row>
    <row r="63" spans="1:6" ht="13" x14ac:dyDescent="0.3">
      <c r="A63" s="123" t="s">
        <v>70</v>
      </c>
      <c r="C63" s="7"/>
      <c r="D63" s="141">
        <v>1068791315.9300001</v>
      </c>
    </row>
    <row r="67" spans="1:1" x14ac:dyDescent="0.25">
      <c r="A67" s="27" t="s">
        <v>71</v>
      </c>
    </row>
    <row r="68" spans="1:1" x14ac:dyDescent="0.25">
      <c r="A68" s="27" t="s">
        <v>72</v>
      </c>
    </row>
    <row r="69" spans="1:1" x14ac:dyDescent="0.25">
      <c r="A69" s="27" t="s">
        <v>73</v>
      </c>
    </row>
  </sheetData>
  <conditionalFormatting sqref="E35">
    <cfRule type="cellIs" dxfId="5" priority="1" operator="equal">
      <formula>"ok"</formula>
    </cfRule>
    <cfRule type="containsText" dxfId="4" priority="4" stopIfTrue="1" operator="containsText" text="Recon Error">
      <formula>NOT(ISERROR(SEARCH("Recon Error",E35)))</formula>
    </cfRule>
    <cfRule type="cellIs" dxfId="3" priority="5" stopIfTrue="1" operator="equal">
      <formula>"Recon Error: Activity &lt;&gt; Balance"</formula>
    </cfRule>
  </conditionalFormatting>
  <conditionalFormatting sqref="E38">
    <cfRule type="containsText" dxfId="2" priority="2" stopIfTrue="1" operator="containsText" text="Recon Error">
      <formula>NOT(ISERROR(SEARCH("Recon Error",E38)))</formula>
    </cfRule>
    <cfRule type="cellIs" dxfId="1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EDDB2-D276-4399-A8C7-0CF95593B9FD}">
  <sheetPr>
    <pageSetUpPr fitToPage="1"/>
  </sheetPr>
  <dimension ref="A1:P67"/>
  <sheetViews>
    <sheetView workbookViewId="0">
      <selection activeCell="D57" sqref="D57"/>
    </sheetView>
  </sheetViews>
  <sheetFormatPr defaultColWidth="9.1796875" defaultRowHeight="12.5" x14ac:dyDescent="0.25"/>
  <cols>
    <col min="1" max="1" width="3.81640625" style="170" customWidth="1"/>
    <col min="2" max="2" width="8.81640625" style="170" customWidth="1"/>
    <col min="3" max="3" width="12.7265625" style="170" customWidth="1"/>
    <col min="4" max="4" width="23.54296875" style="170" customWidth="1"/>
    <col min="5" max="5" width="20" style="170" bestFit="1" customWidth="1"/>
    <col min="6" max="6" width="18.453125" style="170" customWidth="1"/>
    <col min="7" max="7" width="14.7265625" style="170" customWidth="1"/>
    <col min="8" max="8" width="26.81640625" style="170" customWidth="1"/>
    <col min="9" max="9" width="19.81640625" style="170" customWidth="1"/>
    <col min="10" max="10" width="20" style="170" customWidth="1"/>
    <col min="11" max="11" width="11" style="170" customWidth="1"/>
    <col min="12" max="12" width="7.81640625" style="170" customWidth="1"/>
    <col min="13" max="14" width="8.81640625" style="170" customWidth="1"/>
    <col min="15" max="16384" width="9.1796875" style="170"/>
  </cols>
  <sheetData>
    <row r="1" spans="2:16" s="28" customFormat="1" ht="13" x14ac:dyDescent="0.3">
      <c r="B1" s="156" t="s">
        <v>176</v>
      </c>
      <c r="M1" s="29">
        <v>2</v>
      </c>
      <c r="N1" s="30" t="s">
        <v>74</v>
      </c>
      <c r="O1" s="31"/>
      <c r="P1" s="31"/>
    </row>
    <row r="2" spans="2:16" s="28" customFormat="1" ht="12.4" customHeight="1" x14ac:dyDescent="0.25">
      <c r="M2" s="157">
        <v>2</v>
      </c>
      <c r="N2" s="30" t="s">
        <v>75</v>
      </c>
      <c r="O2" s="31"/>
      <c r="P2" s="31"/>
    </row>
    <row r="3" spans="2:16" s="28" customFormat="1" ht="12.4" customHeight="1" x14ac:dyDescent="0.3">
      <c r="B3" s="76" t="s">
        <v>76</v>
      </c>
      <c r="C3" s="158" t="s">
        <v>2</v>
      </c>
      <c r="D3" s="158" t="s">
        <v>3</v>
      </c>
      <c r="E3" s="159" t="s">
        <v>4</v>
      </c>
      <c r="H3" s="160" t="s">
        <v>77</v>
      </c>
      <c r="I3" s="32">
        <v>0.5</v>
      </c>
      <c r="J3" s="161"/>
    </row>
    <row r="4" spans="2:16" s="28" customFormat="1" ht="13" x14ac:dyDescent="0.3">
      <c r="B4" s="162" t="s">
        <v>5</v>
      </c>
      <c r="C4" s="163">
        <v>45413</v>
      </c>
      <c r="D4" s="163">
        <v>45427</v>
      </c>
      <c r="E4" s="164">
        <v>45460</v>
      </c>
      <c r="H4" s="160" t="s">
        <v>78</v>
      </c>
      <c r="I4" s="32">
        <v>0.47259442699999998</v>
      </c>
    </row>
    <row r="5" spans="2:16" s="28" customFormat="1" ht="12.4" customHeight="1" x14ac:dyDescent="0.25">
      <c r="B5" s="165" t="s">
        <v>6</v>
      </c>
      <c r="C5" s="166">
        <v>45443</v>
      </c>
      <c r="D5" s="166">
        <v>45460</v>
      </c>
      <c r="E5" s="167"/>
      <c r="K5" s="168"/>
    </row>
    <row r="6" spans="2:16" s="28" customFormat="1" ht="12.4" customHeight="1" x14ac:dyDescent="0.25">
      <c r="B6" s="169" t="s">
        <v>7</v>
      </c>
      <c r="C6" s="33">
        <v>33</v>
      </c>
      <c r="D6" s="34"/>
      <c r="E6" s="88"/>
      <c r="K6" s="168"/>
    </row>
    <row r="7" spans="2:16" s="28" customFormat="1" x14ac:dyDescent="0.25"/>
    <row r="8" spans="2:16" ht="13" x14ac:dyDescent="0.3">
      <c r="B8" s="35" t="s">
        <v>79</v>
      </c>
      <c r="H8" s="36" t="s">
        <v>80</v>
      </c>
      <c r="I8" s="36" t="s">
        <v>81</v>
      </c>
    </row>
    <row r="9" spans="2:16" ht="13" x14ac:dyDescent="0.3">
      <c r="B9" s="170" t="s">
        <v>177</v>
      </c>
      <c r="H9" s="108" t="s">
        <v>82</v>
      </c>
      <c r="I9" s="108" t="s">
        <v>76</v>
      </c>
    </row>
    <row r="10" spans="2:16" ht="13" x14ac:dyDescent="0.3">
      <c r="F10" s="37"/>
      <c r="H10" s="171">
        <v>46433</v>
      </c>
      <c r="I10" s="172" t="s">
        <v>83</v>
      </c>
    </row>
    <row r="11" spans="2:16" x14ac:dyDescent="0.25">
      <c r="C11" s="170" t="s">
        <v>84</v>
      </c>
      <c r="E11" s="38">
        <v>500000000</v>
      </c>
      <c r="H11" s="172"/>
    </row>
    <row r="12" spans="2:16" x14ac:dyDescent="0.25">
      <c r="D12" s="173"/>
      <c r="E12" s="174">
        <v>500000000</v>
      </c>
      <c r="F12" s="171"/>
      <c r="J12" s="170" t="s">
        <v>85</v>
      </c>
    </row>
    <row r="13" spans="2:16" x14ac:dyDescent="0.25">
      <c r="D13" s="173"/>
      <c r="E13" s="174"/>
      <c r="G13" s="39"/>
      <c r="H13" s="39"/>
      <c r="I13" s="39"/>
      <c r="J13" s="39"/>
    </row>
    <row r="14" spans="2:16" ht="13" x14ac:dyDescent="0.3">
      <c r="B14" s="170" t="s">
        <v>86</v>
      </c>
      <c r="E14" s="40">
        <v>500000000</v>
      </c>
      <c r="H14" s="237" t="s">
        <v>93</v>
      </c>
      <c r="I14" s="237"/>
      <c r="J14" s="237"/>
    </row>
    <row r="15" spans="2:16" x14ac:dyDescent="0.25">
      <c r="B15" s="170" t="s">
        <v>87</v>
      </c>
      <c r="D15" s="175"/>
      <c r="E15" s="38">
        <v>113496000.00000004</v>
      </c>
      <c r="F15" s="176"/>
      <c r="H15" s="173" t="s">
        <v>7</v>
      </c>
      <c r="I15" s="177">
        <v>30</v>
      </c>
    </row>
    <row r="16" spans="2:16" x14ac:dyDescent="0.25">
      <c r="B16" s="170" t="s">
        <v>88</v>
      </c>
      <c r="D16" s="175"/>
      <c r="E16" s="38">
        <v>0</v>
      </c>
      <c r="F16" s="176"/>
      <c r="H16" s="173" t="s">
        <v>178</v>
      </c>
      <c r="I16" s="42">
        <v>5.0500000000000003E-2</v>
      </c>
    </row>
    <row r="17" spans="2:10" x14ac:dyDescent="0.25">
      <c r="B17" s="170" t="s">
        <v>89</v>
      </c>
      <c r="D17" s="175"/>
      <c r="E17" s="38">
        <v>0</v>
      </c>
      <c r="F17" s="176"/>
      <c r="H17" s="173" t="s">
        <v>96</v>
      </c>
      <c r="I17" s="42">
        <v>0</v>
      </c>
    </row>
    <row r="18" spans="2:10" x14ac:dyDescent="0.25">
      <c r="B18" s="170" t="s">
        <v>63</v>
      </c>
      <c r="D18" s="175"/>
      <c r="E18" s="38">
        <v>0</v>
      </c>
      <c r="H18" s="173"/>
      <c r="I18" s="42">
        <v>5.0500000000000003E-2</v>
      </c>
    </row>
    <row r="19" spans="2:10" ht="13" x14ac:dyDescent="0.3">
      <c r="B19" s="37" t="s">
        <v>92</v>
      </c>
      <c r="C19" s="37"/>
      <c r="D19" s="41"/>
      <c r="E19" s="178">
        <v>613496000</v>
      </c>
      <c r="H19" s="173"/>
    </row>
    <row r="20" spans="2:10" ht="13" x14ac:dyDescent="0.3">
      <c r="B20" s="37"/>
      <c r="C20" s="37"/>
      <c r="D20" s="41"/>
      <c r="E20" s="178"/>
      <c r="F20" s="179"/>
      <c r="H20" s="173"/>
    </row>
    <row r="21" spans="2:10" ht="26" x14ac:dyDescent="0.3">
      <c r="B21" s="37"/>
      <c r="C21" s="37"/>
      <c r="D21" s="41"/>
      <c r="E21" s="180" t="s">
        <v>179</v>
      </c>
      <c r="F21" s="181" t="s">
        <v>94</v>
      </c>
      <c r="H21" s="173"/>
      <c r="I21" s="179"/>
    </row>
    <row r="22" spans="2:10" ht="14.5" x14ac:dyDescent="0.25">
      <c r="B22" s="170" t="s">
        <v>95</v>
      </c>
      <c r="D22" s="43"/>
      <c r="E22" s="38">
        <v>613496000</v>
      </c>
      <c r="F22" s="38">
        <v>1226992000</v>
      </c>
    </row>
    <row r="23" spans="2:10" ht="14.5" x14ac:dyDescent="0.25">
      <c r="B23" s="170" t="s">
        <v>97</v>
      </c>
      <c r="E23" s="38">
        <v>378075268.48500013</v>
      </c>
      <c r="F23" s="38">
        <v>756150536.97000027</v>
      </c>
      <c r="H23" s="173"/>
      <c r="I23" s="182" t="s">
        <v>101</v>
      </c>
      <c r="J23" s="182" t="s">
        <v>102</v>
      </c>
    </row>
    <row r="24" spans="2:10" ht="14.5" x14ac:dyDescent="0.25">
      <c r="B24" s="170" t="s">
        <v>98</v>
      </c>
      <c r="E24" s="38">
        <v>0</v>
      </c>
      <c r="F24" s="174">
        <v>0</v>
      </c>
      <c r="H24" s="173" t="s">
        <v>103</v>
      </c>
      <c r="I24" s="40">
        <v>2104166.67</v>
      </c>
      <c r="J24" s="45">
        <v>4.2083333400000003</v>
      </c>
    </row>
    <row r="25" spans="2:10" ht="15" x14ac:dyDescent="0.3">
      <c r="B25" s="37" t="s">
        <v>99</v>
      </c>
      <c r="C25" s="37"/>
      <c r="D25" s="37"/>
      <c r="E25" s="183">
        <v>991571268.48500013</v>
      </c>
      <c r="F25" s="44">
        <v>1983142536.9700003</v>
      </c>
      <c r="H25" s="173" t="s">
        <v>105</v>
      </c>
      <c r="I25" s="174">
        <v>0</v>
      </c>
      <c r="J25" s="45">
        <v>0</v>
      </c>
    </row>
    <row r="26" spans="2:10" x14ac:dyDescent="0.25">
      <c r="E26" s="179"/>
      <c r="H26" s="173"/>
      <c r="I26" s="46"/>
      <c r="J26" s="47"/>
    </row>
    <row r="27" spans="2:10" x14ac:dyDescent="0.25">
      <c r="B27" s="170" t="s">
        <v>100</v>
      </c>
      <c r="E27" s="179">
        <v>1.9831425369700002</v>
      </c>
      <c r="H27" s="173"/>
      <c r="I27" s="184"/>
      <c r="J27" s="49">
        <v>4.2083333400000003</v>
      </c>
    </row>
    <row r="29" spans="2:10" ht="13" x14ac:dyDescent="0.3">
      <c r="F29" s="185"/>
      <c r="G29" s="36"/>
      <c r="H29" s="173"/>
      <c r="I29" s="172"/>
      <c r="J29" s="172"/>
    </row>
    <row r="30" spans="2:10" ht="13" x14ac:dyDescent="0.3">
      <c r="B30" s="37" t="s">
        <v>104</v>
      </c>
      <c r="F30" s="186"/>
      <c r="G30" s="36"/>
      <c r="H30" s="173"/>
      <c r="I30" s="52"/>
      <c r="J30" s="53"/>
    </row>
    <row r="31" spans="2:10" ht="13" x14ac:dyDescent="0.3">
      <c r="B31" s="170" t="s">
        <v>106</v>
      </c>
      <c r="F31" s="186"/>
      <c r="G31" s="36"/>
      <c r="H31" s="173"/>
      <c r="I31" s="174"/>
      <c r="J31" s="53"/>
    </row>
    <row r="32" spans="2:10" ht="13" x14ac:dyDescent="0.3">
      <c r="F32" s="187"/>
      <c r="G32" s="48"/>
      <c r="H32" s="173"/>
      <c r="I32" s="54"/>
      <c r="J32" s="53"/>
    </row>
    <row r="33" spans="1:12" ht="13" x14ac:dyDescent="0.3">
      <c r="E33" s="50" t="s">
        <v>107</v>
      </c>
      <c r="F33" s="188"/>
      <c r="H33" s="173"/>
      <c r="I33" s="184"/>
      <c r="J33" s="55"/>
    </row>
    <row r="34" spans="1:12" ht="13" x14ac:dyDescent="0.3">
      <c r="E34" s="51" t="s">
        <v>108</v>
      </c>
      <c r="F34" s="188"/>
      <c r="H34" s="189" t="s">
        <v>110</v>
      </c>
      <c r="I34" s="56">
        <v>2104166.67</v>
      </c>
    </row>
    <row r="35" spans="1:12" x14ac:dyDescent="0.25">
      <c r="B35" s="170" t="s">
        <v>109</v>
      </c>
      <c r="E35" s="190">
        <v>2596289608.52</v>
      </c>
      <c r="F35" s="188"/>
      <c r="H35" s="57" t="s">
        <v>48</v>
      </c>
      <c r="I35" s="58">
        <v>1031051.3</v>
      </c>
    </row>
    <row r="36" spans="1:12" x14ac:dyDescent="0.25">
      <c r="B36" s="170" t="s">
        <v>26</v>
      </c>
      <c r="E36" s="176">
        <v>-1053894253.09</v>
      </c>
      <c r="F36" s="188"/>
      <c r="H36" s="170" t="s">
        <v>112</v>
      </c>
      <c r="I36" s="59">
        <v>384916.4700000002</v>
      </c>
    </row>
    <row r="37" spans="1:12" x14ac:dyDescent="0.25">
      <c r="B37" s="170" t="s">
        <v>34</v>
      </c>
      <c r="E37" s="176">
        <v>940818549.92000008</v>
      </c>
      <c r="F37" s="188"/>
    </row>
    <row r="38" spans="1:12" x14ac:dyDescent="0.25">
      <c r="B38" s="191" t="s">
        <v>36</v>
      </c>
      <c r="E38" s="176">
        <v>0</v>
      </c>
      <c r="F38" s="188"/>
    </row>
    <row r="39" spans="1:12" s="37" customFormat="1" ht="13" x14ac:dyDescent="0.3">
      <c r="A39" s="170"/>
      <c r="B39" s="191" t="s">
        <v>37</v>
      </c>
      <c r="C39" s="170"/>
      <c r="D39" s="170"/>
      <c r="E39" s="176">
        <v>-8690791.0299999993</v>
      </c>
      <c r="F39" s="188"/>
      <c r="G39" s="170"/>
      <c r="H39" s="170"/>
      <c r="I39" s="170"/>
      <c r="J39" s="170"/>
      <c r="K39" s="192"/>
      <c r="L39" s="170"/>
    </row>
    <row r="40" spans="1:12" ht="13" x14ac:dyDescent="0.3">
      <c r="A40" s="37"/>
      <c r="B40" s="191" t="s">
        <v>39</v>
      </c>
      <c r="E40" s="176">
        <v>0</v>
      </c>
      <c r="F40" s="188"/>
      <c r="H40" s="108" t="s">
        <v>115</v>
      </c>
      <c r="I40" s="108"/>
      <c r="J40" s="108"/>
      <c r="K40" s="193"/>
    </row>
    <row r="41" spans="1:12" ht="13" x14ac:dyDescent="0.3">
      <c r="B41" s="170" t="s">
        <v>111</v>
      </c>
      <c r="E41" s="176">
        <v>0</v>
      </c>
      <c r="F41" s="188"/>
      <c r="G41" s="37"/>
      <c r="K41" s="193"/>
    </row>
    <row r="42" spans="1:12" ht="13" x14ac:dyDescent="0.3">
      <c r="B42" s="170" t="s">
        <v>113</v>
      </c>
      <c r="E42" s="176">
        <v>0</v>
      </c>
      <c r="F42" s="190">
        <v>0</v>
      </c>
      <c r="H42" s="173" t="s">
        <v>117</v>
      </c>
      <c r="I42" s="194">
        <v>2500000</v>
      </c>
      <c r="K42" s="37"/>
      <c r="L42" s="37"/>
    </row>
    <row r="43" spans="1:12" ht="13" x14ac:dyDescent="0.3">
      <c r="B43" s="28" t="s">
        <v>42</v>
      </c>
      <c r="C43" s="37"/>
      <c r="D43" s="37"/>
      <c r="E43" s="176">
        <v>-491278732.35000002</v>
      </c>
      <c r="F43" s="60" t="s">
        <v>90</v>
      </c>
      <c r="H43" s="173" t="s">
        <v>118</v>
      </c>
      <c r="I43" s="174">
        <v>0</v>
      </c>
    </row>
    <row r="44" spans="1:12" x14ac:dyDescent="0.25">
      <c r="B44" s="28" t="s">
        <v>114</v>
      </c>
      <c r="E44" s="176">
        <v>-101845</v>
      </c>
      <c r="F44" s="61"/>
      <c r="G44" s="61"/>
      <c r="H44" s="173" t="s">
        <v>120</v>
      </c>
      <c r="I44" s="174">
        <v>0</v>
      </c>
    </row>
    <row r="45" spans="1:12" ht="13" x14ac:dyDescent="0.3">
      <c r="B45" s="37" t="s">
        <v>91</v>
      </c>
      <c r="C45" s="37"/>
      <c r="D45" s="37"/>
      <c r="E45" s="62">
        <v>1983142536.9700003</v>
      </c>
      <c r="F45" s="195"/>
      <c r="G45" s="61"/>
      <c r="H45" s="173" t="s">
        <v>121</v>
      </c>
      <c r="I45" s="196">
        <v>2500000</v>
      </c>
    </row>
    <row r="46" spans="1:12" x14ac:dyDescent="0.25">
      <c r="E46" s="61"/>
      <c r="G46" s="197"/>
      <c r="H46" s="173" t="s">
        <v>122</v>
      </c>
      <c r="I46" s="194">
        <v>0</v>
      </c>
    </row>
    <row r="47" spans="1:12" x14ac:dyDescent="0.25">
      <c r="B47" s="197" t="s">
        <v>116</v>
      </c>
      <c r="E47" s="43">
        <v>0.5</v>
      </c>
      <c r="G47" s="176"/>
      <c r="H47" s="197"/>
      <c r="I47" s="197"/>
      <c r="K47" s="198"/>
      <c r="L47" s="198"/>
    </row>
    <row r="48" spans="1:12" x14ac:dyDescent="0.25">
      <c r="E48" s="197"/>
      <c r="H48" s="197"/>
      <c r="I48" s="197"/>
      <c r="K48" s="198"/>
      <c r="L48" s="198"/>
    </row>
    <row r="49" spans="2:14" x14ac:dyDescent="0.25">
      <c r="B49" s="170" t="s">
        <v>119</v>
      </c>
      <c r="E49" s="63">
        <v>2046887353.48</v>
      </c>
      <c r="H49" s="66"/>
      <c r="L49" s="198"/>
      <c r="M49" s="200"/>
    </row>
    <row r="50" spans="2:14" ht="13" x14ac:dyDescent="0.3">
      <c r="B50" s="168" t="s">
        <v>50</v>
      </c>
      <c r="E50" s="179">
        <v>0.51487652766930714</v>
      </c>
      <c r="H50" s="67" t="s">
        <v>125</v>
      </c>
      <c r="I50" s="199"/>
      <c r="J50" s="199"/>
      <c r="M50" s="64"/>
    </row>
    <row r="51" spans="2:14" ht="13" x14ac:dyDescent="0.3">
      <c r="B51" s="65"/>
      <c r="E51" s="179"/>
      <c r="F51" s="36"/>
    </row>
    <row r="52" spans="2:14" ht="13" x14ac:dyDescent="0.3">
      <c r="B52" s="37" t="s">
        <v>123</v>
      </c>
      <c r="I52" s="182" t="s">
        <v>126</v>
      </c>
      <c r="J52" s="182" t="s">
        <v>101</v>
      </c>
    </row>
    <row r="53" spans="2:14" ht="13" x14ac:dyDescent="0.3">
      <c r="B53" s="170" t="s">
        <v>124</v>
      </c>
      <c r="F53" s="36"/>
      <c r="H53" s="172" t="s">
        <v>128</v>
      </c>
      <c r="I53" s="68">
        <v>0.10199999999999999</v>
      </c>
      <c r="J53" s="69">
        <v>9.1052799999999997E-4</v>
      </c>
      <c r="N53" s="204"/>
    </row>
    <row r="54" spans="2:14" ht="13" x14ac:dyDescent="0.3">
      <c r="F54" s="186"/>
    </row>
    <row r="55" spans="2:14" ht="13" x14ac:dyDescent="0.3">
      <c r="E55" s="50" t="s">
        <v>107</v>
      </c>
      <c r="F55" s="190"/>
      <c r="H55" s="172" t="s">
        <v>130</v>
      </c>
      <c r="I55" s="71" t="s">
        <v>131</v>
      </c>
      <c r="J55" s="72"/>
      <c r="M55" s="207"/>
    </row>
    <row r="56" spans="2:14" ht="13" x14ac:dyDescent="0.3">
      <c r="E56" s="51" t="s">
        <v>108</v>
      </c>
      <c r="F56" s="208"/>
      <c r="M56" s="207"/>
    </row>
    <row r="57" spans="2:14" ht="13" x14ac:dyDescent="0.25">
      <c r="B57" s="170" t="s">
        <v>25</v>
      </c>
      <c r="E57" s="190">
        <v>14897062.840000002</v>
      </c>
      <c r="F57" s="197"/>
      <c r="H57" s="73" t="s">
        <v>132</v>
      </c>
      <c r="I57" s="199"/>
      <c r="J57" s="199"/>
    </row>
    <row r="58" spans="2:14" ht="13" x14ac:dyDescent="0.3">
      <c r="B58" s="170" t="s">
        <v>127</v>
      </c>
      <c r="E58" s="208">
        <v>0</v>
      </c>
      <c r="F58" s="66"/>
      <c r="I58" s="74" t="s">
        <v>133</v>
      </c>
      <c r="J58" s="74" t="s">
        <v>134</v>
      </c>
    </row>
    <row r="59" spans="2:14" x14ac:dyDescent="0.25">
      <c r="B59" s="170" t="s">
        <v>33</v>
      </c>
      <c r="E59" s="197">
        <v>0</v>
      </c>
      <c r="H59" s="201" t="s">
        <v>135</v>
      </c>
      <c r="I59" s="75">
        <v>0.05</v>
      </c>
      <c r="J59" s="176">
        <v>50000000</v>
      </c>
    </row>
    <row r="60" spans="2:14" x14ac:dyDescent="0.25">
      <c r="B60" s="170" t="s">
        <v>129</v>
      </c>
      <c r="E60" s="70">
        <v>14897062.840000002</v>
      </c>
      <c r="H60" s="201" t="s">
        <v>136</v>
      </c>
      <c r="I60" s="75">
        <v>0.98314253697000031</v>
      </c>
      <c r="J60" s="176">
        <v>983142536.97000027</v>
      </c>
    </row>
    <row r="61" spans="2:14" ht="25" x14ac:dyDescent="0.25">
      <c r="H61" s="205" t="s">
        <v>137</v>
      </c>
      <c r="I61" s="75"/>
      <c r="J61" s="203">
        <v>983142536.97000027</v>
      </c>
    </row>
    <row r="62" spans="2:14" x14ac:dyDescent="0.25">
      <c r="H62" s="238" t="s">
        <v>138</v>
      </c>
      <c r="I62" s="238"/>
      <c r="J62" s="206" t="s">
        <v>139</v>
      </c>
    </row>
    <row r="63" spans="2:14" ht="12.75" customHeight="1" x14ac:dyDescent="0.25">
      <c r="H63" s="239" t="s">
        <v>140</v>
      </c>
      <c r="I63" s="239"/>
      <c r="J63" s="239"/>
    </row>
    <row r="64" spans="2:14" ht="12.75" customHeight="1" x14ac:dyDescent="0.25">
      <c r="H64" s="239"/>
      <c r="I64" s="239"/>
      <c r="J64" s="239"/>
    </row>
    <row r="65" spans="2:10" ht="12.75" customHeight="1" x14ac:dyDescent="0.25">
      <c r="H65" s="209"/>
      <c r="I65" s="209"/>
      <c r="J65" s="209"/>
    </row>
    <row r="66" spans="2:10" ht="12.75" customHeight="1" x14ac:dyDescent="0.25"/>
    <row r="67" spans="2:10" ht="12.75" customHeight="1" x14ac:dyDescent="0.25">
      <c r="B67" s="27" t="s">
        <v>173</v>
      </c>
      <c r="E67" s="210"/>
    </row>
  </sheetData>
  <mergeCells count="3">
    <mergeCell ref="H14:J14"/>
    <mergeCell ref="H62:I62"/>
    <mergeCell ref="H63:J64"/>
  </mergeCells>
  <conditionalFormatting sqref="I55">
    <cfRule type="cellIs" dxfId="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1B02-C4FC-40DC-A0BF-E4D3CAD2B887}">
  <sheetPr>
    <pageSetUpPr fitToPage="1"/>
  </sheetPr>
  <dimension ref="A1:O69"/>
  <sheetViews>
    <sheetView tabSelected="1" workbookViewId="0">
      <selection activeCell="C57" sqref="C57"/>
    </sheetView>
  </sheetViews>
  <sheetFormatPr defaultColWidth="19.81640625" defaultRowHeight="12.5" x14ac:dyDescent="0.25"/>
  <cols>
    <col min="1" max="1" width="19.81640625" style="28"/>
    <col min="2" max="2" width="31.54296875" style="28" customWidth="1"/>
    <col min="3" max="16384" width="19.81640625" style="28"/>
  </cols>
  <sheetData>
    <row r="1" spans="1:15" ht="13" x14ac:dyDescent="0.3">
      <c r="A1" s="156" t="s">
        <v>0</v>
      </c>
    </row>
    <row r="2" spans="1:15" ht="12.4" customHeight="1" x14ac:dyDescent="0.25"/>
    <row r="3" spans="1:15" ht="12.4" customHeight="1" x14ac:dyDescent="0.3">
      <c r="A3" s="76" t="s">
        <v>76</v>
      </c>
      <c r="B3" s="158" t="s">
        <v>2</v>
      </c>
      <c r="C3" s="158" t="s">
        <v>3</v>
      </c>
      <c r="D3" s="159" t="s">
        <v>4</v>
      </c>
      <c r="I3" s="160"/>
      <c r="J3" s="160"/>
      <c r="K3" s="160"/>
    </row>
    <row r="4" spans="1:15" ht="12.4" customHeight="1" x14ac:dyDescent="0.25">
      <c r="A4" s="211" t="s">
        <v>5</v>
      </c>
      <c r="B4" s="212">
        <v>45413</v>
      </c>
      <c r="C4" s="212">
        <v>45427</v>
      </c>
      <c r="D4" s="213">
        <v>45460</v>
      </c>
      <c r="I4" s="214"/>
      <c r="J4" s="214"/>
      <c r="K4" s="214"/>
    </row>
    <row r="5" spans="1:15" ht="12.4" customHeight="1" x14ac:dyDescent="0.25">
      <c r="A5" s="215" t="s">
        <v>6</v>
      </c>
      <c r="B5" s="214">
        <v>45443</v>
      </c>
      <c r="C5" s="214">
        <v>45460</v>
      </c>
      <c r="D5" s="167"/>
      <c r="I5" s="214"/>
      <c r="J5" s="214"/>
      <c r="K5" s="214"/>
    </row>
    <row r="6" spans="1:15" ht="12.4" customHeight="1" x14ac:dyDescent="0.25">
      <c r="A6" s="169" t="s">
        <v>7</v>
      </c>
      <c r="B6" s="34"/>
      <c r="C6" s="34"/>
      <c r="D6" s="88"/>
    </row>
    <row r="8" spans="1:15" ht="13" x14ac:dyDescent="0.3">
      <c r="A8" s="76" t="s">
        <v>141</v>
      </c>
      <c r="B8" s="77"/>
      <c r="C8" s="77"/>
      <c r="D8" s="77"/>
      <c r="E8" s="77"/>
      <c r="F8" s="77"/>
      <c r="G8" s="78"/>
    </row>
    <row r="9" spans="1:15" ht="13" x14ac:dyDescent="0.3">
      <c r="A9" s="76"/>
      <c r="B9" s="77"/>
      <c r="C9" s="77"/>
      <c r="D9" s="77"/>
      <c r="E9" s="77"/>
      <c r="F9" s="77"/>
      <c r="G9" s="78"/>
    </row>
    <row r="10" spans="1:15" ht="13" x14ac:dyDescent="0.3">
      <c r="A10" s="79"/>
      <c r="B10" s="80" t="s">
        <v>142</v>
      </c>
      <c r="C10" s="81" t="s">
        <v>143</v>
      </c>
      <c r="D10" s="81" t="s">
        <v>126</v>
      </c>
      <c r="E10" s="81" t="s">
        <v>144</v>
      </c>
      <c r="F10" s="216"/>
      <c r="G10" s="82"/>
      <c r="H10" s="216"/>
    </row>
    <row r="11" spans="1:15" ht="13" x14ac:dyDescent="0.3">
      <c r="A11" s="79"/>
      <c r="B11" s="217" t="s">
        <v>145</v>
      </c>
      <c r="C11" s="218">
        <v>163849504.77000001</v>
      </c>
      <c r="D11" s="219">
        <v>0.1</v>
      </c>
      <c r="E11" s="220">
        <v>0</v>
      </c>
      <c r="F11" s="220"/>
      <c r="G11" s="82"/>
      <c r="H11" s="220"/>
    </row>
    <row r="12" spans="1:15" ht="13" x14ac:dyDescent="0.3">
      <c r="A12" s="79"/>
      <c r="B12" s="217" t="s">
        <v>146</v>
      </c>
      <c r="C12" s="218">
        <v>65072066.380000003</v>
      </c>
      <c r="D12" s="221">
        <v>0.04</v>
      </c>
      <c r="E12" s="220">
        <v>0</v>
      </c>
      <c r="F12" s="220"/>
      <c r="G12" s="82"/>
      <c r="H12" s="220"/>
      <c r="M12" s="83"/>
      <c r="N12" s="84"/>
      <c r="O12" s="222"/>
    </row>
    <row r="13" spans="1:15" ht="13" x14ac:dyDescent="0.3">
      <c r="A13" s="79"/>
      <c r="B13" s="217" t="s">
        <v>147</v>
      </c>
      <c r="C13" s="218">
        <v>45993573.299999997</v>
      </c>
      <c r="D13" s="221">
        <v>3.5000000000000003E-2</v>
      </c>
      <c r="E13" s="220">
        <v>0</v>
      </c>
      <c r="F13" s="220"/>
      <c r="G13" s="82"/>
      <c r="H13" s="220"/>
    </row>
    <row r="14" spans="1:15" ht="13" x14ac:dyDescent="0.3">
      <c r="A14" s="79"/>
      <c r="B14" s="217" t="s">
        <v>148</v>
      </c>
      <c r="C14" s="218">
        <v>44163314.960000001</v>
      </c>
      <c r="D14" s="221">
        <v>3.2500000000000001E-2</v>
      </c>
      <c r="E14" s="220">
        <v>0</v>
      </c>
      <c r="F14" s="220"/>
      <c r="G14" s="82"/>
      <c r="H14" s="220"/>
    </row>
    <row r="15" spans="1:15" ht="13" x14ac:dyDescent="0.3">
      <c r="A15" s="79"/>
      <c r="B15" s="217" t="s">
        <v>149</v>
      </c>
      <c r="C15" s="218">
        <v>42660551.770000003</v>
      </c>
      <c r="D15" s="221">
        <v>0.03</v>
      </c>
      <c r="E15" s="220">
        <v>0</v>
      </c>
      <c r="F15" s="220"/>
      <c r="G15" s="82"/>
      <c r="H15" s="220"/>
    </row>
    <row r="16" spans="1:15" ht="13" x14ac:dyDescent="0.3">
      <c r="A16" s="79"/>
      <c r="B16" s="217" t="s">
        <v>150</v>
      </c>
      <c r="C16" s="218">
        <v>41264493.490000002</v>
      </c>
      <c r="D16" s="221">
        <v>2.5000000000000001E-2</v>
      </c>
      <c r="E16" s="220">
        <v>0</v>
      </c>
      <c r="F16" s="220"/>
      <c r="G16" s="82"/>
      <c r="H16" s="220"/>
    </row>
    <row r="17" spans="1:13" ht="13" x14ac:dyDescent="0.3">
      <c r="A17" s="79"/>
      <c r="B17" s="217" t="s">
        <v>174</v>
      </c>
      <c r="C17" s="218">
        <v>36458264.149999999</v>
      </c>
      <c r="D17" s="221">
        <v>0.02</v>
      </c>
      <c r="E17" s="220">
        <v>0</v>
      </c>
      <c r="F17" s="220"/>
      <c r="G17" s="82"/>
      <c r="H17" s="220"/>
    </row>
    <row r="18" spans="1:13" ht="13" x14ac:dyDescent="0.3">
      <c r="A18" s="79"/>
      <c r="B18" s="217" t="s">
        <v>175</v>
      </c>
      <c r="C18" s="87">
        <v>34720981.609999999</v>
      </c>
      <c r="D18" s="223">
        <v>0.02</v>
      </c>
      <c r="E18" s="224">
        <v>0</v>
      </c>
      <c r="F18" s="220"/>
      <c r="G18" s="82"/>
      <c r="H18" s="220"/>
    </row>
    <row r="19" spans="1:13" ht="13" x14ac:dyDescent="0.3">
      <c r="A19" s="79"/>
      <c r="B19" s="225"/>
      <c r="C19" s="220">
        <v>474182750.42999995</v>
      </c>
      <c r="D19" s="226"/>
      <c r="F19" s="220"/>
      <c r="G19" s="227"/>
      <c r="H19" s="220"/>
    </row>
    <row r="20" spans="1:13" x14ac:dyDescent="0.25">
      <c r="A20" s="79"/>
      <c r="B20" s="217"/>
      <c r="C20" s="217"/>
      <c r="D20" s="217"/>
      <c r="F20" s="217"/>
      <c r="G20" s="228"/>
      <c r="H20" s="217"/>
    </row>
    <row r="21" spans="1:13" ht="13" x14ac:dyDescent="0.3">
      <c r="A21" s="85"/>
      <c r="B21" s="34"/>
      <c r="C21" s="86" t="s">
        <v>151</v>
      </c>
      <c r="D21" s="34"/>
      <c r="E21" s="87">
        <v>0</v>
      </c>
      <c r="F21" s="34"/>
      <c r="G21" s="88"/>
      <c r="H21" s="218"/>
    </row>
    <row r="23" spans="1:13" ht="13" x14ac:dyDescent="0.3">
      <c r="A23" s="76" t="s">
        <v>152</v>
      </c>
      <c r="B23" s="77"/>
      <c r="C23" s="89" t="s">
        <v>126</v>
      </c>
      <c r="D23" s="89" t="s">
        <v>101</v>
      </c>
      <c r="E23" s="90" t="s">
        <v>130</v>
      </c>
    </row>
    <row r="24" spans="1:13" x14ac:dyDescent="0.25">
      <c r="A24" s="79"/>
      <c r="E24" s="82"/>
    </row>
    <row r="25" spans="1:13" ht="13" x14ac:dyDescent="0.3">
      <c r="A25" s="79" t="s">
        <v>153</v>
      </c>
      <c r="C25" s="83">
        <v>0.25</v>
      </c>
      <c r="D25" s="84">
        <v>0.49250783196648268</v>
      </c>
      <c r="E25" s="91" t="s">
        <v>131</v>
      </c>
    </row>
    <row r="26" spans="1:13" x14ac:dyDescent="0.25">
      <c r="A26" s="79"/>
      <c r="E26" s="82"/>
    </row>
    <row r="27" spans="1:13" ht="13" x14ac:dyDescent="0.3">
      <c r="A27" s="79" t="s">
        <v>87</v>
      </c>
      <c r="C27" s="92">
        <v>226992000.00000009</v>
      </c>
      <c r="D27" s="92">
        <v>226992000.00000009</v>
      </c>
      <c r="E27" s="91" t="s">
        <v>131</v>
      </c>
      <c r="G27" s="76" t="s">
        <v>154</v>
      </c>
      <c r="H27" s="77"/>
      <c r="I27" s="89"/>
      <c r="J27" s="90"/>
      <c r="K27" s="229"/>
      <c r="L27" s="229"/>
      <c r="M27" s="229"/>
    </row>
    <row r="28" spans="1:13" x14ac:dyDescent="0.25">
      <c r="A28" s="85"/>
      <c r="B28" s="34"/>
      <c r="C28" s="34"/>
      <c r="D28" s="34"/>
      <c r="E28" s="88"/>
      <c r="G28" s="79"/>
      <c r="H28" s="229" t="s">
        <v>155</v>
      </c>
      <c r="I28" s="229" t="s">
        <v>156</v>
      </c>
      <c r="J28" s="93" t="s">
        <v>130</v>
      </c>
      <c r="M28" s="229"/>
    </row>
    <row r="29" spans="1:13" ht="13" x14ac:dyDescent="0.3">
      <c r="C29" s="84"/>
      <c r="D29" s="84"/>
      <c r="E29" s="222"/>
      <c r="G29" s="79"/>
      <c r="H29" s="229"/>
      <c r="I29" s="229"/>
      <c r="J29" s="93"/>
      <c r="M29" s="229"/>
    </row>
    <row r="30" spans="1:13" ht="13" x14ac:dyDescent="0.3">
      <c r="A30" s="76" t="s">
        <v>157</v>
      </c>
      <c r="B30" s="77"/>
      <c r="C30" s="77"/>
      <c r="D30" s="77"/>
      <c r="E30" s="78"/>
      <c r="G30" s="79"/>
      <c r="J30" s="82"/>
    </row>
    <row r="31" spans="1:13" ht="13" x14ac:dyDescent="0.3">
      <c r="A31" s="94"/>
      <c r="D31" s="95"/>
      <c r="E31" s="82"/>
      <c r="G31" s="79" t="s">
        <v>158</v>
      </c>
      <c r="H31" s="96">
        <v>0</v>
      </c>
      <c r="I31" s="96">
        <v>300000000</v>
      </c>
      <c r="J31" s="97" t="s">
        <v>159</v>
      </c>
      <c r="K31" s="98"/>
      <c r="M31" s="98"/>
    </row>
    <row r="32" spans="1:13" ht="13" x14ac:dyDescent="0.3">
      <c r="A32" s="94" t="s">
        <v>160</v>
      </c>
      <c r="B32" s="28" t="s">
        <v>161</v>
      </c>
      <c r="E32" s="99">
        <v>0</v>
      </c>
      <c r="G32" s="100"/>
      <c r="H32" s="98"/>
      <c r="I32" s="96"/>
      <c r="J32" s="93"/>
      <c r="K32" s="98"/>
      <c r="M32" s="222"/>
    </row>
    <row r="33" spans="1:13" ht="13" x14ac:dyDescent="0.3">
      <c r="A33" s="94"/>
      <c r="E33" s="101"/>
      <c r="G33" s="79" t="s">
        <v>162</v>
      </c>
      <c r="H33" s="96">
        <v>0</v>
      </c>
      <c r="I33" s="96">
        <v>300000000</v>
      </c>
      <c r="J33" s="97" t="s">
        <v>159</v>
      </c>
      <c r="K33" s="98"/>
    </row>
    <row r="34" spans="1:13" x14ac:dyDescent="0.25">
      <c r="A34" s="94" t="s">
        <v>163</v>
      </c>
      <c r="B34" s="28" t="s">
        <v>164</v>
      </c>
      <c r="E34" s="99">
        <v>0</v>
      </c>
      <c r="F34" s="96"/>
      <c r="G34" s="79"/>
      <c r="I34" s="96"/>
      <c r="J34" s="82"/>
    </row>
    <row r="35" spans="1:13" ht="13" x14ac:dyDescent="0.3">
      <c r="A35" s="94"/>
      <c r="E35" s="99"/>
      <c r="G35" s="79" t="s">
        <v>165</v>
      </c>
      <c r="H35" s="96">
        <v>0</v>
      </c>
      <c r="I35" s="96">
        <v>300000000</v>
      </c>
      <c r="J35" s="97" t="s">
        <v>159</v>
      </c>
    </row>
    <row r="36" spans="1:13" ht="13" x14ac:dyDescent="0.3">
      <c r="A36" s="79"/>
      <c r="C36" s="102" t="s">
        <v>143</v>
      </c>
      <c r="D36" s="102" t="s">
        <v>126</v>
      </c>
      <c r="E36" s="82"/>
      <c r="G36" s="79"/>
      <c r="H36" s="96"/>
      <c r="I36" s="96"/>
      <c r="J36" s="97"/>
      <c r="K36" s="98"/>
    </row>
    <row r="37" spans="1:13" x14ac:dyDescent="0.25">
      <c r="A37" s="94" t="s">
        <v>166</v>
      </c>
      <c r="B37" s="28" t="s">
        <v>167</v>
      </c>
      <c r="C37" s="230">
        <v>322904768.19</v>
      </c>
      <c r="D37" s="83">
        <v>0.2</v>
      </c>
      <c r="E37" s="227">
        <v>0</v>
      </c>
      <c r="G37" s="79"/>
      <c r="J37" s="82"/>
    </row>
    <row r="38" spans="1:13" ht="13" x14ac:dyDescent="0.3">
      <c r="A38" s="79"/>
      <c r="D38" s="83"/>
      <c r="E38" s="103"/>
      <c r="G38" s="106" t="s">
        <v>169</v>
      </c>
      <c r="H38" s="231"/>
      <c r="J38" s="97" t="s">
        <v>83</v>
      </c>
      <c r="K38" s="231"/>
      <c r="L38" s="231"/>
      <c r="M38" s="231"/>
    </row>
    <row r="39" spans="1:13" ht="13" x14ac:dyDescent="0.3">
      <c r="A39" s="85"/>
      <c r="B39" s="104" t="s">
        <v>168</v>
      </c>
      <c r="C39" s="34"/>
      <c r="D39" s="34"/>
      <c r="E39" s="105">
        <v>0</v>
      </c>
      <c r="G39" s="85"/>
      <c r="H39" s="34"/>
      <c r="I39" s="34"/>
      <c r="J39" s="88"/>
    </row>
    <row r="41" spans="1:13" x14ac:dyDescent="0.25">
      <c r="G41" s="27" t="s">
        <v>170</v>
      </c>
    </row>
    <row r="42" spans="1:13" ht="13" x14ac:dyDescent="0.3">
      <c r="F42" s="232"/>
    </row>
    <row r="43" spans="1:13" x14ac:dyDescent="0.25">
      <c r="A43" s="233"/>
      <c r="D43" s="83"/>
      <c r="E43" s="83"/>
    </row>
    <row r="44" spans="1:13" x14ac:dyDescent="0.25">
      <c r="A44" s="233"/>
      <c r="D44" s="83"/>
      <c r="E44" s="83"/>
    </row>
    <row r="45" spans="1:13" ht="13" x14ac:dyDescent="0.3">
      <c r="C45" s="83"/>
      <c r="D45" s="83"/>
      <c r="H45" s="232"/>
    </row>
    <row r="50" spans="3:9" ht="13" x14ac:dyDescent="0.3">
      <c r="C50" s="225"/>
      <c r="D50" s="217"/>
      <c r="E50" s="217"/>
      <c r="F50" s="107"/>
    </row>
    <row r="51" spans="3:9" ht="13" x14ac:dyDescent="0.3">
      <c r="C51" s="234"/>
      <c r="D51" s="216"/>
      <c r="E51" s="216"/>
      <c r="F51" s="216"/>
      <c r="G51" s="217"/>
      <c r="H51" s="217"/>
      <c r="I51" s="217"/>
    </row>
    <row r="52" spans="3:9" ht="13" x14ac:dyDescent="0.3">
      <c r="C52" s="217"/>
      <c r="D52" s="220"/>
      <c r="E52" s="235"/>
      <c r="F52" s="220"/>
      <c r="G52" s="216"/>
      <c r="H52" s="216"/>
      <c r="I52" s="216"/>
    </row>
    <row r="53" spans="3:9" x14ac:dyDescent="0.25">
      <c r="C53" s="217"/>
      <c r="D53" s="220"/>
      <c r="E53" s="235"/>
      <c r="F53" s="220"/>
      <c r="G53" s="236"/>
      <c r="H53" s="236"/>
      <c r="I53" s="221"/>
    </row>
    <row r="54" spans="3:9" x14ac:dyDescent="0.25">
      <c r="C54" s="217"/>
      <c r="D54" s="217"/>
      <c r="E54" s="217"/>
      <c r="F54" s="217"/>
      <c r="G54" s="236"/>
      <c r="H54" s="236"/>
      <c r="I54" s="221"/>
    </row>
    <row r="55" spans="3:9" ht="13" x14ac:dyDescent="0.3">
      <c r="C55" s="225"/>
      <c r="D55" s="220"/>
      <c r="E55" s="226"/>
      <c r="F55" s="220"/>
      <c r="G55" s="217"/>
      <c r="H55" s="217"/>
      <c r="I55" s="217"/>
    </row>
    <row r="56" spans="3:9" x14ac:dyDescent="0.25">
      <c r="C56" s="217"/>
      <c r="D56" s="217"/>
      <c r="E56" s="217"/>
      <c r="F56" s="217"/>
      <c r="G56" s="220"/>
      <c r="H56" s="220"/>
      <c r="I56" s="220"/>
    </row>
    <row r="57" spans="3:9" ht="13" x14ac:dyDescent="0.3">
      <c r="C57" s="225"/>
      <c r="D57" s="217"/>
      <c r="E57" s="217"/>
      <c r="F57" s="220"/>
      <c r="G57" s="217"/>
      <c r="H57" s="217"/>
      <c r="I57" s="217"/>
    </row>
    <row r="58" spans="3:9" x14ac:dyDescent="0.25">
      <c r="C58" s="217"/>
      <c r="D58" s="217"/>
      <c r="E58" s="217"/>
      <c r="F58" s="217"/>
      <c r="G58" s="217"/>
      <c r="H58" s="217"/>
      <c r="I58" s="217"/>
    </row>
    <row r="59" spans="3:9" ht="13" x14ac:dyDescent="0.3">
      <c r="C59" s="225"/>
      <c r="D59" s="217"/>
      <c r="E59" s="217"/>
      <c r="F59" s="217"/>
      <c r="G59" s="217"/>
      <c r="H59" s="217"/>
      <c r="I59" s="217"/>
    </row>
    <row r="60" spans="3:9" ht="13" x14ac:dyDescent="0.3">
      <c r="C60" s="234"/>
      <c r="D60" s="216"/>
      <c r="E60" s="216"/>
      <c r="F60" s="216"/>
      <c r="G60" s="217"/>
      <c r="H60" s="217"/>
      <c r="I60" s="217"/>
    </row>
    <row r="61" spans="3:9" x14ac:dyDescent="0.25">
      <c r="C61" s="217"/>
      <c r="D61" s="220"/>
      <c r="E61" s="235"/>
      <c r="F61" s="220"/>
      <c r="G61" s="217"/>
      <c r="H61" s="217"/>
      <c r="I61" s="217"/>
    </row>
    <row r="62" spans="3:9" x14ac:dyDescent="0.25">
      <c r="C62" s="217"/>
      <c r="D62" s="220"/>
      <c r="E62" s="235"/>
      <c r="F62" s="220"/>
      <c r="G62" s="217"/>
      <c r="H62" s="217"/>
      <c r="I62" s="217"/>
    </row>
    <row r="63" spans="3:9" x14ac:dyDescent="0.25">
      <c r="C63" s="217"/>
      <c r="D63" s="217"/>
      <c r="E63" s="217"/>
      <c r="F63" s="217"/>
      <c r="G63" s="217"/>
      <c r="H63" s="217"/>
      <c r="I63" s="217"/>
    </row>
    <row r="64" spans="3:9" ht="13" x14ac:dyDescent="0.3">
      <c r="C64" s="225"/>
      <c r="D64" s="220"/>
      <c r="E64" s="226"/>
      <c r="F64" s="220"/>
      <c r="G64" s="217"/>
      <c r="H64" s="217"/>
      <c r="I64" s="217"/>
    </row>
    <row r="65" spans="3:9" x14ac:dyDescent="0.25">
      <c r="C65" s="217"/>
      <c r="D65" s="217"/>
      <c r="E65" s="217"/>
      <c r="F65" s="217"/>
      <c r="G65" s="217"/>
      <c r="H65" s="217"/>
      <c r="I65" s="217"/>
    </row>
    <row r="66" spans="3:9" ht="13" x14ac:dyDescent="0.3">
      <c r="C66" s="225"/>
      <c r="D66" s="225"/>
      <c r="E66" s="225"/>
      <c r="F66" s="218"/>
      <c r="G66" s="217"/>
      <c r="H66" s="217"/>
      <c r="I66" s="217"/>
    </row>
    <row r="67" spans="3:9" ht="13" x14ac:dyDescent="0.3">
      <c r="C67" s="217"/>
      <c r="D67" s="217"/>
      <c r="E67" s="217"/>
      <c r="F67" s="217"/>
      <c r="G67" s="225"/>
      <c r="H67" s="225"/>
      <c r="I67" s="225"/>
    </row>
    <row r="68" spans="3:9" x14ac:dyDescent="0.25">
      <c r="C68" s="217"/>
      <c r="D68" s="217"/>
      <c r="E68" s="217"/>
      <c r="F68" s="217"/>
      <c r="G68" s="217"/>
      <c r="H68" s="217"/>
      <c r="I68" s="217"/>
    </row>
    <row r="69" spans="3:9" x14ac:dyDescent="0.25">
      <c r="G69" s="217"/>
      <c r="H69" s="217"/>
      <c r="I69" s="217"/>
    </row>
  </sheetData>
  <pageMargins left="0.2" right="0.22" top="0.5" bottom="0.5" header="0.5" footer="0.5"/>
  <pageSetup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106C-9592-4A89-BAB1-1624520B6148}">
  <sheetPr>
    <pageSetUpPr fitToPage="1"/>
  </sheetPr>
  <dimension ref="A1:S69"/>
  <sheetViews>
    <sheetView workbookViewId="0">
      <selection activeCell="J27" sqref="J27"/>
    </sheetView>
  </sheetViews>
  <sheetFormatPr defaultColWidth="16.54296875" defaultRowHeight="12.5" x14ac:dyDescent="0.25"/>
  <cols>
    <col min="1" max="1" width="16.54296875" style="1"/>
    <col min="2" max="2" width="19.54296875" style="1" customWidth="1"/>
    <col min="3" max="3" width="21.81640625" style="1" customWidth="1"/>
    <col min="4" max="4" width="19.1796875" style="1" bestFit="1" customWidth="1"/>
    <col min="5" max="5" width="26.81640625" style="1" customWidth="1"/>
    <col min="6" max="6" width="25.1796875" style="1" customWidth="1"/>
    <col min="7" max="7" width="23.1796875" style="1" customWidth="1"/>
    <col min="8" max="8" width="19.81640625" style="1" customWidth="1"/>
    <col min="9" max="9" width="19.7265625" style="1" bestFit="1" customWidth="1"/>
    <col min="10" max="10" width="20.81640625" style="1" bestFit="1" customWidth="1"/>
    <col min="11" max="11" width="18.81640625" style="1" bestFit="1" customWidth="1"/>
    <col min="12" max="12" width="21.453125" style="1" bestFit="1" customWidth="1"/>
    <col min="13" max="16384" width="16.54296875" style="1"/>
  </cols>
  <sheetData>
    <row r="1" spans="1:19" ht="13" x14ac:dyDescent="0.3">
      <c r="A1" s="109" t="s">
        <v>0</v>
      </c>
      <c r="G1" s="110"/>
      <c r="H1" s="110"/>
      <c r="K1" s="8"/>
    </row>
    <row r="2" spans="1:19" x14ac:dyDescent="0.25">
      <c r="G2" s="110"/>
      <c r="H2" s="110"/>
      <c r="K2" s="8"/>
    </row>
    <row r="3" spans="1:19" ht="13" x14ac:dyDescent="0.3">
      <c r="A3" s="111" t="s">
        <v>1</v>
      </c>
      <c r="B3" s="112" t="s">
        <v>2</v>
      </c>
      <c r="C3" s="112" t="s">
        <v>3</v>
      </c>
      <c r="D3" s="113" t="s">
        <v>4</v>
      </c>
      <c r="G3" s="110"/>
      <c r="H3" s="110"/>
      <c r="K3" s="114"/>
    </row>
    <row r="4" spans="1:19" x14ac:dyDescent="0.25">
      <c r="A4" s="115" t="s">
        <v>5</v>
      </c>
      <c r="B4" s="116">
        <v>45383</v>
      </c>
      <c r="C4" s="117">
        <v>45397</v>
      </c>
      <c r="D4" s="118">
        <f>C5</f>
        <v>45427</v>
      </c>
      <c r="G4" s="110"/>
      <c r="H4" s="110"/>
    </row>
    <row r="5" spans="1:19" x14ac:dyDescent="0.25">
      <c r="A5" s="115" t="s">
        <v>6</v>
      </c>
      <c r="B5" s="117">
        <v>45412</v>
      </c>
      <c r="C5" s="117">
        <v>45427</v>
      </c>
      <c r="D5" s="118"/>
      <c r="L5" s="119"/>
    </row>
    <row r="6" spans="1:19" x14ac:dyDescent="0.25">
      <c r="A6" s="120" t="s">
        <v>7</v>
      </c>
      <c r="B6" s="2"/>
      <c r="C6" s="2"/>
      <c r="D6" s="121"/>
      <c r="L6" s="119"/>
    </row>
    <row r="7" spans="1:19" x14ac:dyDescent="0.25">
      <c r="A7" s="119"/>
      <c r="C7" s="119"/>
      <c r="F7" s="122"/>
      <c r="J7" s="3"/>
      <c r="K7" s="4"/>
    </row>
    <row r="8" spans="1:19" ht="13" x14ac:dyDescent="0.3">
      <c r="A8" s="123" t="s">
        <v>8</v>
      </c>
      <c r="C8" s="119"/>
      <c r="F8" s="122"/>
      <c r="G8" s="13"/>
      <c r="J8" s="3"/>
      <c r="K8" s="4"/>
    </row>
    <row r="9" spans="1:19" ht="13" x14ac:dyDescent="0.3">
      <c r="A9" s="7"/>
      <c r="B9" s="7"/>
      <c r="C9" s="124"/>
      <c r="D9" s="124"/>
      <c r="E9" s="124"/>
      <c r="F9" s="124"/>
      <c r="G9" s="124"/>
      <c r="H9" s="124"/>
      <c r="I9" s="124"/>
      <c r="J9" s="5"/>
      <c r="K9" s="124"/>
      <c r="M9" s="124"/>
      <c r="O9" s="124"/>
      <c r="P9" s="124"/>
      <c r="S9" s="124"/>
    </row>
    <row r="10" spans="1:19" ht="39" x14ac:dyDescent="0.3">
      <c r="A10" s="125" t="s">
        <v>9</v>
      </c>
      <c r="B10" s="126"/>
      <c r="C10" s="127" t="s">
        <v>10</v>
      </c>
      <c r="D10" s="127" t="s">
        <v>11</v>
      </c>
      <c r="E10" s="127" t="s">
        <v>12</v>
      </c>
      <c r="F10" s="127" t="s">
        <v>13</v>
      </c>
      <c r="G10" s="127" t="s">
        <v>14</v>
      </c>
      <c r="H10" s="127" t="s">
        <v>15</v>
      </c>
      <c r="I10" s="127" t="s">
        <v>16</v>
      </c>
      <c r="J10" s="127" t="s">
        <v>17</v>
      </c>
      <c r="K10" s="127" t="s">
        <v>18</v>
      </c>
      <c r="M10" s="124"/>
      <c r="O10" s="124"/>
      <c r="P10" s="124"/>
      <c r="S10" s="124"/>
    </row>
    <row r="11" spans="1:19" x14ac:dyDescent="0.25">
      <c r="A11" s="1" t="s">
        <v>171</v>
      </c>
      <c r="C11" s="13">
        <v>500000000</v>
      </c>
      <c r="D11" s="13">
        <v>0</v>
      </c>
      <c r="E11" s="128">
        <v>500000000</v>
      </c>
      <c r="F11" s="128">
        <v>113835116.81802718</v>
      </c>
      <c r="G11" s="128">
        <v>613835116.81802714</v>
      </c>
      <c r="H11" s="13">
        <v>339116.81802713964</v>
      </c>
      <c r="I11" s="129">
        <f>J11-G11</f>
        <v>411368266.99697292</v>
      </c>
      <c r="J11" s="129">
        <v>1025203383.8150001</v>
      </c>
      <c r="K11" s="9">
        <v>0.5</v>
      </c>
      <c r="L11" s="6"/>
      <c r="O11" s="130"/>
      <c r="P11" s="130"/>
      <c r="S11" s="130"/>
    </row>
    <row r="12" spans="1:19" x14ac:dyDescent="0.25">
      <c r="A12" s="1" t="s">
        <v>172</v>
      </c>
      <c r="C12" s="13">
        <v>500000000</v>
      </c>
      <c r="D12" s="13">
        <v>0</v>
      </c>
      <c r="E12" s="128">
        <v>500000000</v>
      </c>
      <c r="F12" s="128">
        <v>113835116.81802718</v>
      </c>
      <c r="G12" s="128">
        <v>613835116.81802714</v>
      </c>
      <c r="H12" s="13">
        <v>339116.81802713964</v>
      </c>
      <c r="I12" s="129">
        <f>J12-G12</f>
        <v>411368266.99697292</v>
      </c>
      <c r="J12" s="129">
        <v>1025203383.8150001</v>
      </c>
      <c r="K12" s="9">
        <v>0.5</v>
      </c>
      <c r="L12" s="6"/>
      <c r="O12" s="130"/>
      <c r="P12" s="130"/>
      <c r="S12" s="130"/>
    </row>
    <row r="13" spans="1:19" ht="3" customHeight="1" x14ac:dyDescent="0.25">
      <c r="C13" s="13"/>
      <c r="D13" s="13"/>
      <c r="E13" s="128"/>
      <c r="F13" s="128"/>
      <c r="G13" s="128"/>
      <c r="H13" s="13"/>
      <c r="I13" s="129"/>
      <c r="J13" s="129"/>
      <c r="K13" s="9"/>
      <c r="L13" s="6"/>
      <c r="O13" s="130"/>
      <c r="P13" s="130"/>
      <c r="S13" s="130"/>
    </row>
    <row r="14" spans="1:19" s="7" customFormat="1" ht="13" x14ac:dyDescent="0.3">
      <c r="A14" s="131" t="s">
        <v>19</v>
      </c>
      <c r="B14" s="132"/>
      <c r="C14" s="133">
        <f t="shared" ref="C14:K14" si="0">SUM(C11:C13)</f>
        <v>1000000000</v>
      </c>
      <c r="D14" s="133">
        <f t="shared" si="0"/>
        <v>0</v>
      </c>
      <c r="E14" s="134">
        <f t="shared" si="0"/>
        <v>1000000000</v>
      </c>
      <c r="F14" s="134">
        <f t="shared" si="0"/>
        <v>227670233.63605437</v>
      </c>
      <c r="G14" s="134">
        <f t="shared" si="0"/>
        <v>1227670233.6360543</v>
      </c>
      <c r="H14" s="133">
        <f t="shared" si="0"/>
        <v>678233.63605427928</v>
      </c>
      <c r="I14" s="133">
        <f t="shared" si="0"/>
        <v>822736533.99394584</v>
      </c>
      <c r="J14" s="133">
        <f t="shared" si="0"/>
        <v>2050406767.6300001</v>
      </c>
      <c r="K14" s="135">
        <f t="shared" si="0"/>
        <v>1</v>
      </c>
      <c r="L14" s="136"/>
      <c r="O14" s="136"/>
      <c r="P14" s="136"/>
      <c r="S14" s="137"/>
    </row>
    <row r="15" spans="1:19" x14ac:dyDescent="0.25">
      <c r="H15" s="8"/>
      <c r="I15" s="8"/>
      <c r="J15" s="8"/>
      <c r="K15" s="9"/>
    </row>
    <row r="16" spans="1:19" ht="13" x14ac:dyDescent="0.3">
      <c r="A16" s="123" t="s">
        <v>20</v>
      </c>
      <c r="C16" s="119"/>
      <c r="G16" s="13"/>
      <c r="H16" s="8"/>
      <c r="I16" s="8"/>
      <c r="J16" s="8"/>
      <c r="K16" s="9"/>
    </row>
    <row r="17" spans="1:19" ht="13" x14ac:dyDescent="0.3">
      <c r="F17" s="123"/>
      <c r="G17" s="13"/>
      <c r="H17" s="8"/>
      <c r="I17" s="8"/>
      <c r="J17" s="8"/>
      <c r="K17" s="9"/>
    </row>
    <row r="18" spans="1:19" ht="39" x14ac:dyDescent="0.3">
      <c r="A18" s="125" t="s">
        <v>9</v>
      </c>
      <c r="B18" s="126"/>
      <c r="C18" s="127" t="s">
        <v>10</v>
      </c>
      <c r="D18" s="127" t="s">
        <v>11</v>
      </c>
      <c r="E18" s="127" t="s">
        <v>12</v>
      </c>
      <c r="F18" s="127" t="s">
        <v>21</v>
      </c>
      <c r="G18" s="127" t="s">
        <v>14</v>
      </c>
      <c r="H18" s="127" t="s">
        <v>15</v>
      </c>
      <c r="I18" s="127" t="s">
        <v>16</v>
      </c>
      <c r="J18" s="127" t="s">
        <v>17</v>
      </c>
      <c r="K18" s="138" t="s">
        <v>18</v>
      </c>
      <c r="M18" s="124"/>
      <c r="O18" s="124"/>
      <c r="P18" s="124"/>
      <c r="S18" s="124"/>
    </row>
    <row r="19" spans="1:19" x14ac:dyDescent="0.25">
      <c r="A19" s="1" t="s">
        <v>171</v>
      </c>
      <c r="C19" s="13">
        <v>500000000</v>
      </c>
      <c r="D19" s="13">
        <v>0</v>
      </c>
      <c r="E19" s="13">
        <v>500000000</v>
      </c>
      <c r="F19" s="10">
        <v>113496000.00000004</v>
      </c>
      <c r="G19" s="13">
        <v>613496000</v>
      </c>
      <c r="H19" s="13">
        <v>0</v>
      </c>
      <c r="I19" s="139">
        <f>J19-G19</f>
        <v>441820084.995</v>
      </c>
      <c r="J19" s="129">
        <v>1055316084.995</v>
      </c>
      <c r="K19" s="9">
        <v>0.5</v>
      </c>
      <c r="L19" s="6"/>
      <c r="M19" s="10"/>
      <c r="O19" s="130"/>
      <c r="P19" s="130"/>
      <c r="S19" s="130"/>
    </row>
    <row r="20" spans="1:19" x14ac:dyDescent="0.25">
      <c r="A20" s="1" t="s">
        <v>172</v>
      </c>
      <c r="C20" s="13">
        <v>500000000</v>
      </c>
      <c r="D20" s="13">
        <v>0</v>
      </c>
      <c r="E20" s="13">
        <v>500000000</v>
      </c>
      <c r="F20" s="10">
        <v>113496000.00000004</v>
      </c>
      <c r="G20" s="13">
        <v>613496000</v>
      </c>
      <c r="H20" s="13">
        <v>0</v>
      </c>
      <c r="I20" s="139">
        <f>J20-G20</f>
        <v>441820084.995</v>
      </c>
      <c r="J20" s="129">
        <v>1055316084.995</v>
      </c>
      <c r="K20" s="9">
        <v>0.5</v>
      </c>
      <c r="L20" s="11"/>
      <c r="M20" s="10"/>
      <c r="O20" s="130"/>
      <c r="P20" s="130"/>
      <c r="S20" s="130"/>
    </row>
    <row r="21" spans="1:19" ht="3.75" customHeight="1" x14ac:dyDescent="0.25">
      <c r="C21" s="13"/>
      <c r="D21" s="13"/>
      <c r="E21" s="13"/>
      <c r="F21" s="10"/>
      <c r="G21" s="13"/>
      <c r="H21" s="13"/>
      <c r="I21" s="140"/>
      <c r="J21" s="129"/>
      <c r="K21" s="9"/>
      <c r="L21" s="6"/>
      <c r="M21" s="10"/>
      <c r="O21" s="130"/>
      <c r="P21" s="130"/>
      <c r="S21" s="130"/>
    </row>
    <row r="22" spans="1:19" s="7" customFormat="1" ht="13" x14ac:dyDescent="0.3">
      <c r="A22" s="131" t="s">
        <v>19</v>
      </c>
      <c r="B22" s="132"/>
      <c r="C22" s="141">
        <f t="shared" ref="C22:K22" si="1">SUM(C19:C21)</f>
        <v>1000000000</v>
      </c>
      <c r="D22" s="141">
        <f t="shared" si="1"/>
        <v>0</v>
      </c>
      <c r="E22" s="141">
        <f t="shared" si="1"/>
        <v>1000000000</v>
      </c>
      <c r="F22" s="141">
        <f t="shared" si="1"/>
        <v>226992000.00000009</v>
      </c>
      <c r="G22" s="141">
        <f t="shared" si="1"/>
        <v>1226992000</v>
      </c>
      <c r="H22" s="133">
        <f t="shared" si="1"/>
        <v>0</v>
      </c>
      <c r="I22" s="133">
        <f t="shared" si="1"/>
        <v>883640169.99000001</v>
      </c>
      <c r="J22" s="133">
        <f t="shared" si="1"/>
        <v>2110632169.99</v>
      </c>
      <c r="K22" s="12">
        <f t="shared" si="1"/>
        <v>1</v>
      </c>
      <c r="L22" s="136"/>
      <c r="O22" s="136"/>
      <c r="P22" s="136"/>
      <c r="S22" s="137"/>
    </row>
    <row r="23" spans="1:19" ht="13" x14ac:dyDescent="0.3">
      <c r="A23" s="123"/>
      <c r="C23" s="13"/>
      <c r="D23" s="13"/>
      <c r="E23" s="13"/>
      <c r="F23" s="13"/>
      <c r="G23" s="13"/>
      <c r="H23" s="13"/>
      <c r="I23" s="13"/>
      <c r="J23" s="13"/>
      <c r="K23" s="142"/>
      <c r="L23" s="13"/>
      <c r="O23" s="13"/>
      <c r="P23" s="13"/>
      <c r="S23" s="143"/>
    </row>
    <row r="24" spans="1:19" ht="13" x14ac:dyDescent="0.3">
      <c r="A24" s="123"/>
      <c r="C24" s="13"/>
      <c r="D24" s="13"/>
      <c r="E24" s="13"/>
      <c r="F24" s="13"/>
      <c r="G24" s="13"/>
      <c r="H24" s="13"/>
      <c r="I24" s="13"/>
      <c r="J24" s="13"/>
      <c r="K24" s="142"/>
      <c r="L24" s="13"/>
      <c r="O24" s="13"/>
      <c r="P24" s="13"/>
      <c r="S24" s="143"/>
    </row>
    <row r="25" spans="1:19" ht="13" x14ac:dyDescent="0.3">
      <c r="A25" s="123" t="s">
        <v>22</v>
      </c>
      <c r="C25" s="13"/>
      <c r="E25" s="13"/>
      <c r="F25" s="10"/>
      <c r="G25" s="123" t="s">
        <v>23</v>
      </c>
      <c r="K25" s="8"/>
    </row>
    <row r="26" spans="1:19" x14ac:dyDescent="0.25">
      <c r="A26" s="119" t="s">
        <v>24</v>
      </c>
      <c r="C26" s="13"/>
      <c r="D26" s="13">
        <v>2526183718.02</v>
      </c>
      <c r="E26" s="13"/>
      <c r="F26" s="13"/>
      <c r="G26" s="119" t="s">
        <v>25</v>
      </c>
      <c r="J26" s="128">
        <f>J27+J28+J29+J30+J31</f>
        <v>14328059.449999997</v>
      </c>
      <c r="K26" s="14"/>
      <c r="L26" s="10"/>
    </row>
    <row r="27" spans="1:19" ht="13" x14ac:dyDescent="0.3">
      <c r="A27" s="119" t="s">
        <v>26</v>
      </c>
      <c r="C27" s="13"/>
      <c r="D27" s="13">
        <f>SUM(D28:D30)</f>
        <v>1017682432.6900001</v>
      </c>
      <c r="E27" s="13"/>
      <c r="F27" s="13"/>
      <c r="G27" s="145" t="s">
        <v>27</v>
      </c>
      <c r="J27" s="146">
        <v>17388307.119999997</v>
      </c>
      <c r="L27" s="10"/>
    </row>
    <row r="28" spans="1:19" ht="13" x14ac:dyDescent="0.3">
      <c r="B28" s="145" t="s">
        <v>28</v>
      </c>
      <c r="C28" s="13"/>
      <c r="D28" s="146">
        <v>1017682432.6900001</v>
      </c>
      <c r="E28" s="13"/>
      <c r="F28" s="13"/>
      <c r="G28" s="145" t="s">
        <v>29</v>
      </c>
      <c r="J28" s="146">
        <v>-3163193.4</v>
      </c>
      <c r="L28" s="10"/>
    </row>
    <row r="29" spans="1:19" ht="13" x14ac:dyDescent="0.3">
      <c r="B29" s="145" t="s">
        <v>30</v>
      </c>
      <c r="C29" s="13"/>
      <c r="D29" s="146">
        <v>0</v>
      </c>
      <c r="E29" s="13"/>
      <c r="F29" s="13"/>
      <c r="G29" s="145" t="s">
        <v>31</v>
      </c>
      <c r="J29" s="146">
        <v>0</v>
      </c>
      <c r="K29" s="15"/>
      <c r="L29" s="10"/>
    </row>
    <row r="30" spans="1:19" ht="13" x14ac:dyDescent="0.3">
      <c r="B30" s="145" t="s">
        <v>32</v>
      </c>
      <c r="C30" s="13"/>
      <c r="D30" s="146">
        <v>0</v>
      </c>
      <c r="E30" s="13"/>
      <c r="F30" s="13"/>
      <c r="G30" s="119" t="s">
        <v>33</v>
      </c>
      <c r="J30" s="13">
        <v>0</v>
      </c>
      <c r="K30" s="15"/>
      <c r="L30" s="10"/>
    </row>
    <row r="31" spans="1:19" x14ac:dyDescent="0.25">
      <c r="A31" s="15" t="s">
        <v>34</v>
      </c>
      <c r="D31" s="13">
        <v>1102795193.5799999</v>
      </c>
      <c r="E31" s="13"/>
      <c r="F31" s="13"/>
      <c r="G31" s="119" t="s">
        <v>35</v>
      </c>
      <c r="J31" s="128">
        <v>102945.73</v>
      </c>
      <c r="L31" s="10"/>
    </row>
    <row r="32" spans="1:19" x14ac:dyDescent="0.25">
      <c r="A32" s="119" t="s">
        <v>36</v>
      </c>
      <c r="D32" s="13">
        <v>0</v>
      </c>
      <c r="E32" s="147"/>
      <c r="F32" s="16"/>
      <c r="L32" s="10"/>
    </row>
    <row r="33" spans="1:12" ht="13" x14ac:dyDescent="0.3">
      <c r="A33" s="119" t="s">
        <v>37</v>
      </c>
      <c r="D33" s="13">
        <v>15006870.390000001</v>
      </c>
      <c r="E33" s="147"/>
      <c r="F33" s="16">
        <f>D35-F35</f>
        <v>0</v>
      </c>
      <c r="G33" s="123" t="s">
        <v>38</v>
      </c>
      <c r="L33" s="10"/>
    </row>
    <row r="34" spans="1:12" x14ac:dyDescent="0.25">
      <c r="A34" s="119" t="s">
        <v>39</v>
      </c>
      <c r="D34" s="13">
        <v>0</v>
      </c>
      <c r="E34" s="17"/>
      <c r="G34" s="1" t="s">
        <v>25</v>
      </c>
      <c r="J34" s="128">
        <f>D62</f>
        <v>14328059.449999997</v>
      </c>
      <c r="L34" s="10"/>
    </row>
    <row r="35" spans="1:12" ht="13" x14ac:dyDescent="0.3">
      <c r="A35" s="123" t="s">
        <v>40</v>
      </c>
      <c r="B35" s="7"/>
      <c r="C35" s="7"/>
      <c r="D35" s="141">
        <v>2596289608.52</v>
      </c>
      <c r="E35" s="18"/>
      <c r="F35" s="148">
        <f>D26-D27+D31+D32-D33-D34</f>
        <v>2596289608.52</v>
      </c>
      <c r="G35" s="119" t="s">
        <v>41</v>
      </c>
      <c r="J35" s="10">
        <f>D40</f>
        <v>2080519468.8099999</v>
      </c>
      <c r="L35" s="10"/>
    </row>
    <row r="36" spans="1:12" x14ac:dyDescent="0.25">
      <c r="A36" s="1" t="s">
        <v>42</v>
      </c>
      <c r="D36" s="13">
        <v>-485550749.52999997</v>
      </c>
      <c r="E36" s="15"/>
      <c r="F36" s="16"/>
      <c r="G36" s="119" t="s">
        <v>43</v>
      </c>
      <c r="I36" s="3"/>
      <c r="J36" s="149">
        <v>360</v>
      </c>
      <c r="L36" s="10"/>
    </row>
    <row r="37" spans="1:12" x14ac:dyDescent="0.25">
      <c r="A37" s="1" t="s">
        <v>44</v>
      </c>
      <c r="D37" s="13">
        <v>-106689</v>
      </c>
      <c r="E37" s="15"/>
      <c r="F37" s="17"/>
      <c r="G37" s="150" t="s">
        <v>45</v>
      </c>
      <c r="H37" s="150"/>
      <c r="I37" s="19"/>
      <c r="J37" s="150">
        <f>B5-B4+1</f>
        <v>30</v>
      </c>
      <c r="L37" s="10"/>
    </row>
    <row r="38" spans="1:12" ht="13" x14ac:dyDescent="0.3">
      <c r="A38" s="7" t="s">
        <v>46</v>
      </c>
      <c r="D38" s="20">
        <v>2110632169.99</v>
      </c>
      <c r="E38" s="21"/>
      <c r="F38" s="17"/>
      <c r="G38" s="7" t="s">
        <v>47</v>
      </c>
      <c r="H38" s="7"/>
      <c r="I38" s="7"/>
      <c r="J38" s="151">
        <f>IF(OR(J37&lt;=0,J35&lt;=0),0,(J36/J37)*(J34/J35))</f>
        <v>8.2641242236653062E-2</v>
      </c>
      <c r="L38" s="10"/>
    </row>
    <row r="39" spans="1:12" x14ac:dyDescent="0.25">
      <c r="B39" s="10"/>
      <c r="D39" s="21"/>
      <c r="E39" s="18"/>
      <c r="F39" s="10"/>
      <c r="G39" s="119" t="s">
        <v>48</v>
      </c>
      <c r="J39" s="152">
        <v>0.01</v>
      </c>
      <c r="L39" s="10"/>
    </row>
    <row r="40" spans="1:12" x14ac:dyDescent="0.25">
      <c r="A40" s="119" t="s">
        <v>49</v>
      </c>
      <c r="D40" s="10">
        <v>2080519468.8099999</v>
      </c>
      <c r="E40" s="22"/>
      <c r="F40" s="10"/>
      <c r="L40" s="10"/>
    </row>
    <row r="41" spans="1:12" x14ac:dyDescent="0.25">
      <c r="A41" s="119" t="s">
        <v>50</v>
      </c>
      <c r="D41" s="143">
        <v>0.48914823819076614</v>
      </c>
      <c r="E41" s="152"/>
      <c r="F41" s="10"/>
      <c r="L41" s="10"/>
    </row>
    <row r="42" spans="1:12" x14ac:dyDescent="0.25">
      <c r="A42" s="119" t="s">
        <v>51</v>
      </c>
      <c r="D42" s="143">
        <v>0.51774097293882271</v>
      </c>
      <c r="E42" s="15"/>
      <c r="F42" s="10"/>
      <c r="G42" s="119" t="s">
        <v>52</v>
      </c>
      <c r="H42" s="119"/>
      <c r="I42" s="23"/>
      <c r="J42" s="153">
        <f>J38-J39</f>
        <v>7.2641242236653067E-2</v>
      </c>
      <c r="L42" s="24"/>
    </row>
    <row r="43" spans="1:12" x14ac:dyDescent="0.25">
      <c r="A43" s="119" t="s">
        <v>53</v>
      </c>
      <c r="D43" s="143">
        <v>0.4968293037</v>
      </c>
      <c r="E43" s="15"/>
      <c r="F43" s="10"/>
      <c r="G43" s="119" t="s">
        <v>54</v>
      </c>
      <c r="J43" s="19">
        <v>5.5250100000000003E-2</v>
      </c>
      <c r="K43" s="25"/>
      <c r="L43" s="152"/>
    </row>
    <row r="44" spans="1:12" ht="13" x14ac:dyDescent="0.3">
      <c r="A44" s="119" t="s">
        <v>55</v>
      </c>
      <c r="D44" s="143">
        <v>0.49666372120000002</v>
      </c>
      <c r="E44" s="13"/>
      <c r="F44" s="10"/>
      <c r="G44" s="123" t="s">
        <v>56</v>
      </c>
      <c r="H44" s="7"/>
      <c r="I44" s="7"/>
      <c r="J44" s="154">
        <f>J42-J43</f>
        <v>1.7391142236653064E-2</v>
      </c>
      <c r="L44" s="10"/>
    </row>
    <row r="45" spans="1:12" x14ac:dyDescent="0.25">
      <c r="A45" s="119" t="s">
        <v>57</v>
      </c>
      <c r="D45" s="143">
        <v>0.43978822810000001</v>
      </c>
      <c r="E45" s="152"/>
      <c r="F45" s="10"/>
      <c r="L45" s="10"/>
    </row>
    <row r="46" spans="1:12" x14ac:dyDescent="0.25">
      <c r="A46" s="119" t="s">
        <v>58</v>
      </c>
      <c r="D46" s="143">
        <v>0.48870888890000003</v>
      </c>
      <c r="E46" s="18"/>
      <c r="F46" s="10"/>
    </row>
    <row r="47" spans="1:12" x14ac:dyDescent="0.25">
      <c r="A47" s="119" t="s">
        <v>59</v>
      </c>
      <c r="D47" s="143">
        <v>0.50123950494319625</v>
      </c>
      <c r="E47" s="152"/>
      <c r="F47" s="10"/>
    </row>
    <row r="48" spans="1:12" x14ac:dyDescent="0.25">
      <c r="A48" s="1" t="s">
        <v>60</v>
      </c>
      <c r="D48" s="143">
        <v>0.4881465588382648</v>
      </c>
      <c r="F48" s="10"/>
    </row>
    <row r="49" spans="1:6" x14ac:dyDescent="0.25">
      <c r="F49" s="10"/>
    </row>
    <row r="50" spans="1:6" x14ac:dyDescent="0.25">
      <c r="A50" s="119" t="s">
        <v>61</v>
      </c>
      <c r="D50" s="128">
        <f>'Apr24 Pool Data'!C37</f>
        <v>319507277.49000001</v>
      </c>
      <c r="E50" s="6"/>
      <c r="F50" s="10"/>
    </row>
    <row r="51" spans="1:6" x14ac:dyDescent="0.25">
      <c r="A51" s="119" t="s">
        <v>62</v>
      </c>
      <c r="D51" s="155">
        <v>0.15137989557484752</v>
      </c>
      <c r="F51" s="10"/>
    </row>
    <row r="52" spans="1:6" x14ac:dyDescent="0.25">
      <c r="F52" s="10"/>
    </row>
    <row r="53" spans="1:6" x14ac:dyDescent="0.25">
      <c r="A53" s="119" t="s">
        <v>63</v>
      </c>
      <c r="D53" s="10">
        <f>'Apr24 Pool Data'!E39</f>
        <v>0</v>
      </c>
      <c r="E53" s="13"/>
      <c r="F53" s="10"/>
    </row>
    <row r="54" spans="1:6" x14ac:dyDescent="0.25">
      <c r="E54" s="13"/>
      <c r="F54" s="10"/>
    </row>
    <row r="55" spans="1:6" x14ac:dyDescent="0.25">
      <c r="A55" s="119" t="s">
        <v>64</v>
      </c>
      <c r="D55" s="128">
        <v>0</v>
      </c>
      <c r="E55" s="13"/>
      <c r="F55" s="10"/>
    </row>
    <row r="56" spans="1:6" x14ac:dyDescent="0.25">
      <c r="A56" s="119" t="s">
        <v>65</v>
      </c>
      <c r="D56" s="128">
        <v>0</v>
      </c>
      <c r="F56" s="10"/>
    </row>
    <row r="57" spans="1:6" x14ac:dyDescent="0.25">
      <c r="A57" s="119" t="s">
        <v>66</v>
      </c>
      <c r="D57" s="13">
        <v>0</v>
      </c>
      <c r="E57" s="1" t="str">
        <f>IF(D61&lt;&gt;D27,"Recon Error: Total Principal Collections, Variance "&amp;D61-D27,"")</f>
        <v/>
      </c>
      <c r="F57" s="10"/>
    </row>
    <row r="58" spans="1:6" x14ac:dyDescent="0.25">
      <c r="A58" s="119" t="s">
        <v>68</v>
      </c>
      <c r="D58" s="152">
        <f>IFERROR(D34/D40,0)</f>
        <v>0</v>
      </c>
      <c r="E58" s="1" t="str">
        <f>IF(D62&lt;&gt;J26,"Recon Error: Total Interest Collections, Variance "&amp;D62-J26,"")</f>
        <v/>
      </c>
      <c r="F58" s="10"/>
    </row>
    <row r="59" spans="1:6" x14ac:dyDescent="0.25">
      <c r="A59" s="26"/>
      <c r="F59" s="10"/>
    </row>
    <row r="60" spans="1:6" ht="13" x14ac:dyDescent="0.3">
      <c r="A60" s="123" t="s">
        <v>69</v>
      </c>
    </row>
    <row r="61" spans="1:6" x14ac:dyDescent="0.25">
      <c r="A61" s="119" t="s">
        <v>26</v>
      </c>
      <c r="D61" s="13">
        <v>1017682432.6900001</v>
      </c>
    </row>
    <row r="62" spans="1:6" x14ac:dyDescent="0.25">
      <c r="A62" s="119" t="s">
        <v>25</v>
      </c>
      <c r="D62" s="13">
        <v>14328059.449999997</v>
      </c>
    </row>
    <row r="63" spans="1:6" ht="13" x14ac:dyDescent="0.3">
      <c r="A63" s="123" t="s">
        <v>70</v>
      </c>
      <c r="C63" s="7"/>
      <c r="D63" s="141">
        <f>SUM(D61:D62)</f>
        <v>1032010492.1400001</v>
      </c>
    </row>
    <row r="67" spans="1:1" x14ac:dyDescent="0.25">
      <c r="A67" s="27" t="s">
        <v>71</v>
      </c>
    </row>
    <row r="68" spans="1:1" x14ac:dyDescent="0.25">
      <c r="A68" s="27" t="s">
        <v>72</v>
      </c>
    </row>
    <row r="69" spans="1:1" x14ac:dyDescent="0.25">
      <c r="A69" s="27" t="s">
        <v>73</v>
      </c>
    </row>
  </sheetData>
  <conditionalFormatting sqref="E35">
    <cfRule type="cellIs" dxfId="11" priority="1" operator="equal">
      <formula>"ok"</formula>
    </cfRule>
    <cfRule type="containsText" dxfId="10" priority="4" stopIfTrue="1" operator="containsText" text="Recon Error">
      <formula>NOT(ISERROR(SEARCH("Recon Error",E35)))</formula>
    </cfRule>
    <cfRule type="cellIs" dxfId="9" priority="5" stopIfTrue="1" operator="equal">
      <formula>"Recon Error: Activity &lt;&gt; Balance"</formula>
    </cfRule>
  </conditionalFormatting>
  <conditionalFormatting sqref="E38">
    <cfRule type="containsText" dxfId="8" priority="2" stopIfTrue="1" operator="containsText" text="Recon Error">
      <formula>NOT(ISERROR(SEARCH("Recon Error",E38)))</formula>
    </cfRule>
    <cfRule type="cellIs" dxfId="7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29DA7-39F2-4BDE-985E-6E067B72B33A}">
  <sheetPr>
    <pageSetUpPr fitToPage="1"/>
  </sheetPr>
  <dimension ref="A1:P67"/>
  <sheetViews>
    <sheetView workbookViewId="0">
      <selection activeCell="J27" sqref="J27"/>
    </sheetView>
  </sheetViews>
  <sheetFormatPr defaultColWidth="9.1796875" defaultRowHeight="12.5" x14ac:dyDescent="0.25"/>
  <cols>
    <col min="1" max="1" width="3.81640625" style="170" customWidth="1"/>
    <col min="2" max="2" width="8.81640625" style="170" customWidth="1"/>
    <col min="3" max="3" width="12.7265625" style="170" customWidth="1"/>
    <col min="4" max="4" width="23.54296875" style="170" customWidth="1"/>
    <col min="5" max="5" width="20" style="170" bestFit="1" customWidth="1"/>
    <col min="6" max="6" width="18.453125" style="170" customWidth="1"/>
    <col min="7" max="7" width="14.7265625" style="170" customWidth="1"/>
    <col min="8" max="8" width="26.81640625" style="170" customWidth="1"/>
    <col min="9" max="9" width="19.81640625" style="170" customWidth="1"/>
    <col min="10" max="10" width="20" style="170" customWidth="1"/>
    <col min="11" max="11" width="11" style="170" customWidth="1"/>
    <col min="12" max="12" width="7.81640625" style="170" customWidth="1"/>
    <col min="13" max="14" width="8.81640625" style="170" customWidth="1"/>
    <col min="15" max="16384" width="9.1796875" style="170"/>
  </cols>
  <sheetData>
    <row r="1" spans="2:16" s="28" customFormat="1" ht="13" x14ac:dyDescent="0.3">
      <c r="B1" s="156" t="s">
        <v>176</v>
      </c>
      <c r="M1" s="29">
        <v>2</v>
      </c>
      <c r="N1" s="30" t="s">
        <v>74</v>
      </c>
      <c r="O1" s="31"/>
      <c r="P1" s="31"/>
    </row>
    <row r="2" spans="2:16" s="28" customFormat="1" ht="12.4" customHeight="1" x14ac:dyDescent="0.25">
      <c r="M2" s="157">
        <v>2</v>
      </c>
      <c r="N2" s="30" t="s">
        <v>75</v>
      </c>
      <c r="O2" s="31"/>
      <c r="P2" s="31"/>
    </row>
    <row r="3" spans="2:16" s="28" customFormat="1" ht="12.4" customHeight="1" x14ac:dyDescent="0.3">
      <c r="B3" s="76" t="s">
        <v>76</v>
      </c>
      <c r="C3" s="158" t="s">
        <v>2</v>
      </c>
      <c r="D3" s="158" t="s">
        <v>3</v>
      </c>
      <c r="E3" s="159" t="s">
        <v>4</v>
      </c>
      <c r="H3" s="160" t="s">
        <v>77</v>
      </c>
      <c r="I3" s="32">
        <v>0.5</v>
      </c>
      <c r="J3" s="161"/>
    </row>
    <row r="4" spans="2:16" s="28" customFormat="1" ht="13" x14ac:dyDescent="0.3">
      <c r="B4" s="162" t="s">
        <v>5</v>
      </c>
      <c r="C4" s="163">
        <v>45383</v>
      </c>
      <c r="D4" s="163">
        <v>45397</v>
      </c>
      <c r="E4" s="164">
        <f>D5</f>
        <v>45427</v>
      </c>
      <c r="H4" s="160" t="s">
        <v>78</v>
      </c>
      <c r="I4" s="32">
        <v>0.48570972540417817</v>
      </c>
    </row>
    <row r="5" spans="2:16" s="28" customFormat="1" ht="12.4" customHeight="1" x14ac:dyDescent="0.25">
      <c r="B5" s="165" t="s">
        <v>6</v>
      </c>
      <c r="C5" s="166">
        <v>45412</v>
      </c>
      <c r="D5" s="166">
        <v>45427</v>
      </c>
      <c r="E5" s="167"/>
      <c r="K5" s="168"/>
    </row>
    <row r="6" spans="2:16" s="28" customFormat="1" ht="12.4" customHeight="1" x14ac:dyDescent="0.25">
      <c r="B6" s="169" t="s">
        <v>7</v>
      </c>
      <c r="C6" s="33">
        <v>30</v>
      </c>
      <c r="D6" s="34"/>
      <c r="E6" s="88"/>
      <c r="K6" s="168"/>
    </row>
    <row r="7" spans="2:16" s="28" customFormat="1" x14ac:dyDescent="0.25"/>
    <row r="8" spans="2:16" ht="13" x14ac:dyDescent="0.3">
      <c r="B8" s="35" t="s">
        <v>79</v>
      </c>
      <c r="H8" s="36" t="s">
        <v>80</v>
      </c>
      <c r="I8" s="36" t="s">
        <v>81</v>
      </c>
    </row>
    <row r="9" spans="2:16" ht="13" x14ac:dyDescent="0.3">
      <c r="B9" s="170" t="s">
        <v>177</v>
      </c>
      <c r="H9" s="108" t="s">
        <v>82</v>
      </c>
      <c r="I9" s="108" t="s">
        <v>76</v>
      </c>
    </row>
    <row r="10" spans="2:16" ht="13" x14ac:dyDescent="0.3">
      <c r="F10" s="37"/>
      <c r="H10" s="171">
        <v>46433</v>
      </c>
      <c r="I10" s="172" t="s">
        <v>83</v>
      </c>
    </row>
    <row r="11" spans="2:16" x14ac:dyDescent="0.25">
      <c r="C11" s="170" t="s">
        <v>84</v>
      </c>
      <c r="E11" s="38">
        <v>500000000</v>
      </c>
      <c r="H11" s="172"/>
    </row>
    <row r="12" spans="2:16" x14ac:dyDescent="0.25">
      <c r="D12" s="173"/>
      <c r="E12" s="174">
        <v>500000000</v>
      </c>
      <c r="F12" s="171"/>
      <c r="J12" s="170" t="s">
        <v>85</v>
      </c>
    </row>
    <row r="13" spans="2:16" x14ac:dyDescent="0.25">
      <c r="D13" s="173"/>
      <c r="E13" s="174"/>
      <c r="G13" s="39"/>
      <c r="H13" s="39"/>
      <c r="I13" s="39"/>
      <c r="J13" s="39"/>
    </row>
    <row r="14" spans="2:16" ht="13" x14ac:dyDescent="0.3">
      <c r="B14" s="170" t="s">
        <v>86</v>
      </c>
      <c r="E14" s="40">
        <f>SUM(E12:E13)</f>
        <v>500000000</v>
      </c>
      <c r="H14" s="237" t="s">
        <v>93</v>
      </c>
      <c r="I14" s="237"/>
      <c r="J14" s="237"/>
    </row>
    <row r="15" spans="2:16" x14ac:dyDescent="0.25">
      <c r="B15" s="170" t="s">
        <v>87</v>
      </c>
      <c r="D15" s="175"/>
      <c r="E15" s="38">
        <v>113496000.00000004</v>
      </c>
      <c r="F15" s="176"/>
      <c r="H15" s="173" t="s">
        <v>7</v>
      </c>
      <c r="I15" s="177">
        <v>30</v>
      </c>
    </row>
    <row r="16" spans="2:16" x14ac:dyDescent="0.25">
      <c r="B16" s="170" t="s">
        <v>88</v>
      </c>
      <c r="D16" s="175"/>
      <c r="E16" s="38">
        <v>0</v>
      </c>
      <c r="F16" s="176"/>
      <c r="H16" s="173" t="s">
        <v>178</v>
      </c>
      <c r="I16" s="42">
        <v>5.0500000000000003E-2</v>
      </c>
    </row>
    <row r="17" spans="2:10" x14ac:dyDescent="0.25">
      <c r="B17" s="170" t="s">
        <v>89</v>
      </c>
      <c r="D17" s="175"/>
      <c r="E17" s="38">
        <v>0</v>
      </c>
      <c r="F17" s="176"/>
      <c r="H17" s="173" t="s">
        <v>96</v>
      </c>
      <c r="I17" s="42">
        <v>0</v>
      </c>
    </row>
    <row r="18" spans="2:10" x14ac:dyDescent="0.25">
      <c r="B18" s="170" t="s">
        <v>63</v>
      </c>
      <c r="D18" s="175"/>
      <c r="E18" s="38">
        <v>0</v>
      </c>
      <c r="H18" s="173"/>
      <c r="I18" s="42">
        <v>5.0500000000000003E-2</v>
      </c>
    </row>
    <row r="19" spans="2:10" ht="13" x14ac:dyDescent="0.3">
      <c r="B19" s="37" t="s">
        <v>92</v>
      </c>
      <c r="C19" s="37"/>
      <c r="D19" s="41"/>
      <c r="E19" s="178">
        <v>613496000</v>
      </c>
      <c r="H19" s="173"/>
    </row>
    <row r="20" spans="2:10" ht="13" x14ac:dyDescent="0.3">
      <c r="B20" s="37"/>
      <c r="C20" s="37"/>
      <c r="D20" s="41"/>
      <c r="E20" s="178"/>
      <c r="F20" s="179"/>
      <c r="H20" s="173"/>
    </row>
    <row r="21" spans="2:10" ht="26" x14ac:dyDescent="0.3">
      <c r="B21" s="37"/>
      <c r="C21" s="37"/>
      <c r="D21" s="41"/>
      <c r="E21" s="180" t="s">
        <v>179</v>
      </c>
      <c r="F21" s="181" t="s">
        <v>94</v>
      </c>
      <c r="H21" s="173"/>
      <c r="I21" s="179"/>
    </row>
    <row r="22" spans="2:10" ht="14.5" x14ac:dyDescent="0.25">
      <c r="B22" s="170" t="s">
        <v>95</v>
      </c>
      <c r="D22" s="43"/>
      <c r="E22" s="38">
        <v>613496000</v>
      </c>
      <c r="F22" s="38">
        <f>'Apr24 Aggregate'!G22</f>
        <v>1226992000</v>
      </c>
    </row>
    <row r="23" spans="2:10" ht="14.5" x14ac:dyDescent="0.25">
      <c r="B23" s="170" t="s">
        <v>97</v>
      </c>
      <c r="E23" s="38">
        <f>+'Apr24 Aggregate'!I20-E24</f>
        <v>441820084.995</v>
      </c>
      <c r="F23" s="38">
        <f>+'Apr24 Aggregate'!I22-F24</f>
        <v>883640169.99000001</v>
      </c>
      <c r="H23" s="173"/>
      <c r="I23" s="182" t="s">
        <v>101</v>
      </c>
      <c r="J23" s="182" t="s">
        <v>102</v>
      </c>
    </row>
    <row r="24" spans="2:10" ht="14.5" x14ac:dyDescent="0.25">
      <c r="B24" s="170" t="s">
        <v>98</v>
      </c>
      <c r="E24" s="38">
        <v>0</v>
      </c>
      <c r="F24" s="174">
        <v>0</v>
      </c>
      <c r="H24" s="173" t="s">
        <v>103</v>
      </c>
      <c r="I24" s="40">
        <v>2104166.67</v>
      </c>
      <c r="J24" s="45">
        <v>4.2083333400000003</v>
      </c>
    </row>
    <row r="25" spans="2:10" ht="15" x14ac:dyDescent="0.3">
      <c r="B25" s="37" t="s">
        <v>99</v>
      </c>
      <c r="C25" s="37"/>
      <c r="D25" s="37"/>
      <c r="E25" s="183">
        <v>1055316084.995</v>
      </c>
      <c r="F25" s="44">
        <f>'Apr24 Aggregate'!J22</f>
        <v>2110632169.99</v>
      </c>
      <c r="H25" s="173" t="s">
        <v>105</v>
      </c>
      <c r="I25" s="174">
        <v>0</v>
      </c>
      <c r="J25" s="45">
        <f>IF($E$12&lt;=0,0,ROUND(I25*1000/$E$12,2))</f>
        <v>0</v>
      </c>
    </row>
    <row r="26" spans="2:10" x14ac:dyDescent="0.25">
      <c r="E26" s="179"/>
      <c r="H26" s="173"/>
      <c r="I26" s="46"/>
      <c r="J26" s="47"/>
    </row>
    <row r="27" spans="2:10" x14ac:dyDescent="0.25">
      <c r="B27" s="170" t="s">
        <v>100</v>
      </c>
      <c r="E27" s="179">
        <f>IF(E19&lt;=0,0,E25/E14)</f>
        <v>2.1106321699900001</v>
      </c>
      <c r="H27" s="173"/>
      <c r="I27" s="184"/>
      <c r="J27" s="49">
        <f>SUM(J24:J26)</f>
        <v>4.2083333400000003</v>
      </c>
    </row>
    <row r="29" spans="2:10" ht="13" x14ac:dyDescent="0.3">
      <c r="F29" s="185"/>
      <c r="G29" s="36"/>
      <c r="H29" s="173"/>
      <c r="I29" s="172"/>
      <c r="J29" s="172"/>
    </row>
    <row r="30" spans="2:10" ht="13" x14ac:dyDescent="0.3">
      <c r="B30" s="37" t="s">
        <v>104</v>
      </c>
      <c r="F30" s="186"/>
      <c r="G30" s="36"/>
      <c r="H30" s="173"/>
      <c r="I30" s="52"/>
      <c r="J30" s="53"/>
    </row>
    <row r="31" spans="2:10" ht="13" x14ac:dyDescent="0.3">
      <c r="B31" s="170" t="s">
        <v>106</v>
      </c>
      <c r="F31" s="186"/>
      <c r="G31" s="36"/>
      <c r="H31" s="173"/>
      <c r="I31" s="174"/>
      <c r="J31" s="53"/>
    </row>
    <row r="32" spans="2:10" ht="13" x14ac:dyDescent="0.3">
      <c r="F32" s="187"/>
      <c r="G32" s="48"/>
      <c r="H32" s="173"/>
      <c r="I32" s="54"/>
      <c r="J32" s="53"/>
    </row>
    <row r="33" spans="1:12" ht="13" x14ac:dyDescent="0.3">
      <c r="E33" s="50" t="s">
        <v>107</v>
      </c>
      <c r="F33" s="188"/>
      <c r="H33" s="173"/>
      <c r="I33" s="184"/>
      <c r="J33" s="55"/>
    </row>
    <row r="34" spans="1:12" ht="13" x14ac:dyDescent="0.3">
      <c r="E34" s="51" t="s">
        <v>108</v>
      </c>
      <c r="F34" s="188"/>
      <c r="H34" s="189" t="s">
        <v>110</v>
      </c>
      <c r="I34" s="56">
        <f>SUM(I24:I26)</f>
        <v>2104166.67</v>
      </c>
    </row>
    <row r="35" spans="1:12" x14ac:dyDescent="0.25">
      <c r="B35" s="170" t="s">
        <v>109</v>
      </c>
      <c r="E35" s="190">
        <f>'Apr24 Aggregate'!D26</f>
        <v>2526183718.02</v>
      </c>
      <c r="F35" s="188"/>
      <c r="H35" s="57" t="s">
        <v>48</v>
      </c>
      <c r="I35" s="58">
        <v>1081787.3400000001</v>
      </c>
    </row>
    <row r="36" spans="1:12" x14ac:dyDescent="0.25">
      <c r="B36" s="170" t="s">
        <v>26</v>
      </c>
      <c r="E36" s="176">
        <f>-'Apr24 Aggregate'!D27</f>
        <v>-1017682432.6900001</v>
      </c>
      <c r="F36" s="188"/>
      <c r="H36" s="173" t="s">
        <v>112</v>
      </c>
      <c r="I36" s="59">
        <f>[1]Waterfall!I29</f>
        <v>293684.90000000037</v>
      </c>
    </row>
    <row r="37" spans="1:12" x14ac:dyDescent="0.25">
      <c r="B37" s="170" t="s">
        <v>34</v>
      </c>
      <c r="E37" s="176">
        <f>'Apr24 Aggregate'!D31</f>
        <v>1102795193.5799999</v>
      </c>
      <c r="F37" s="188"/>
    </row>
    <row r="38" spans="1:12" x14ac:dyDescent="0.25">
      <c r="B38" s="191" t="s">
        <v>36</v>
      </c>
      <c r="E38" s="176">
        <f>'Apr24 Aggregate'!D32</f>
        <v>0</v>
      </c>
      <c r="F38" s="188"/>
    </row>
    <row r="39" spans="1:12" s="37" customFormat="1" ht="13" x14ac:dyDescent="0.3">
      <c r="A39" s="170"/>
      <c r="B39" s="191" t="s">
        <v>37</v>
      </c>
      <c r="C39" s="170"/>
      <c r="D39" s="170"/>
      <c r="E39" s="176">
        <f>-'Apr24 Aggregate'!D33</f>
        <v>-15006870.390000001</v>
      </c>
      <c r="F39" s="188"/>
      <c r="G39" s="170"/>
      <c r="H39" s="170"/>
      <c r="I39" s="170"/>
      <c r="J39" s="170"/>
      <c r="K39" s="192"/>
      <c r="L39" s="170"/>
    </row>
    <row r="40" spans="1:12" ht="13" x14ac:dyDescent="0.3">
      <c r="A40" s="37"/>
      <c r="B40" s="191" t="s">
        <v>39</v>
      </c>
      <c r="E40" s="176">
        <f>-'Apr24 Aggregate'!D34</f>
        <v>0</v>
      </c>
      <c r="F40" s="188"/>
      <c r="H40" s="108" t="s">
        <v>115</v>
      </c>
      <c r="I40" s="108"/>
      <c r="J40" s="108"/>
      <c r="K40" s="193"/>
    </row>
    <row r="41" spans="1:12" ht="13" x14ac:dyDescent="0.3">
      <c r="B41" s="170" t="s">
        <v>111</v>
      </c>
      <c r="E41" s="176">
        <v>0</v>
      </c>
      <c r="F41" s="188"/>
      <c r="G41" s="37"/>
      <c r="K41" s="193"/>
    </row>
    <row r="42" spans="1:12" ht="13" x14ac:dyDescent="0.3">
      <c r="B42" s="170" t="s">
        <v>113</v>
      </c>
      <c r="E42" s="176">
        <f>0</f>
        <v>0</v>
      </c>
      <c r="F42" s="190">
        <f>E45-SUM(E35:E44)</f>
        <v>0</v>
      </c>
      <c r="H42" s="173" t="s">
        <v>117</v>
      </c>
      <c r="I42" s="194">
        <v>2500000</v>
      </c>
      <c r="K42" s="37"/>
      <c r="L42" s="37"/>
    </row>
    <row r="43" spans="1:12" ht="13" x14ac:dyDescent="0.3">
      <c r="B43" s="28" t="s">
        <v>42</v>
      </c>
      <c r="C43" s="37"/>
      <c r="D43" s="37"/>
      <c r="E43" s="176">
        <f>'Apr24 Aggregate'!D36</f>
        <v>-485550749.52999997</v>
      </c>
      <c r="F43" s="60" t="str">
        <f>IF(ABS(E45-SUM(E35:E44))&gt;0.005,"Recon"," ")</f>
        <v xml:space="preserve"> </v>
      </c>
      <c r="H43" s="173" t="s">
        <v>118</v>
      </c>
      <c r="I43" s="174">
        <f>-[1]Waterfall!I33</f>
        <v>0</v>
      </c>
    </row>
    <row r="44" spans="1:12" x14ac:dyDescent="0.25">
      <c r="B44" s="28" t="s">
        <v>114</v>
      </c>
      <c r="E44" s="176">
        <f>'Apr24 Aggregate'!D37</f>
        <v>-106689</v>
      </c>
      <c r="F44" s="61"/>
      <c r="G44" s="61"/>
      <c r="H44" s="173" t="s">
        <v>120</v>
      </c>
      <c r="I44" s="174">
        <f>-I43</f>
        <v>0</v>
      </c>
    </row>
    <row r="45" spans="1:12" ht="13" x14ac:dyDescent="0.3">
      <c r="B45" s="37" t="s">
        <v>91</v>
      </c>
      <c r="C45" s="37"/>
      <c r="D45" s="37"/>
      <c r="E45" s="62">
        <f>'Apr24 Aggregate'!D38</f>
        <v>2110632169.99</v>
      </c>
      <c r="F45" s="195"/>
      <c r="G45" s="61"/>
      <c r="H45" s="173" t="s">
        <v>121</v>
      </c>
      <c r="I45" s="196">
        <v>2500000</v>
      </c>
    </row>
    <row r="46" spans="1:12" x14ac:dyDescent="0.25">
      <c r="E46" s="61"/>
      <c r="G46" s="197"/>
      <c r="H46" s="173" t="s">
        <v>122</v>
      </c>
      <c r="I46" s="194">
        <f>I42-I45</f>
        <v>0</v>
      </c>
    </row>
    <row r="47" spans="1:12" x14ac:dyDescent="0.25">
      <c r="B47" s="197" t="s">
        <v>116</v>
      </c>
      <c r="E47" s="43">
        <f>I3</f>
        <v>0.5</v>
      </c>
      <c r="G47" s="176"/>
      <c r="H47" s="197"/>
      <c r="I47" s="197"/>
      <c r="K47" s="198"/>
      <c r="L47" s="198"/>
    </row>
    <row r="48" spans="1:12" x14ac:dyDescent="0.25">
      <c r="E48" s="197"/>
      <c r="H48" s="197"/>
      <c r="I48" s="197"/>
      <c r="K48" s="198"/>
      <c r="L48" s="198"/>
    </row>
    <row r="49" spans="2:14" x14ac:dyDescent="0.25">
      <c r="B49" s="170" t="s">
        <v>119</v>
      </c>
      <c r="E49" s="63">
        <v>2080519468.8099999</v>
      </c>
      <c r="H49" s="66"/>
      <c r="L49" s="198"/>
      <c r="M49" s="200"/>
    </row>
    <row r="50" spans="2:14" ht="13" x14ac:dyDescent="0.3">
      <c r="B50" s="168" t="s">
        <v>50</v>
      </c>
      <c r="E50" s="179">
        <v>0.48914823819076614</v>
      </c>
      <c r="H50" s="67" t="s">
        <v>125</v>
      </c>
      <c r="I50" s="199"/>
      <c r="J50" s="199"/>
      <c r="M50" s="64"/>
    </row>
    <row r="51" spans="2:14" ht="13" x14ac:dyDescent="0.3">
      <c r="B51" s="65"/>
      <c r="E51" s="179"/>
      <c r="F51" s="36"/>
    </row>
    <row r="52" spans="2:14" ht="13" x14ac:dyDescent="0.3">
      <c r="B52" s="37" t="s">
        <v>123</v>
      </c>
      <c r="I52" s="182" t="s">
        <v>126</v>
      </c>
      <c r="J52" s="182" t="s">
        <v>101</v>
      </c>
    </row>
    <row r="53" spans="2:14" ht="13" x14ac:dyDescent="0.3">
      <c r="B53" s="170" t="s">
        <v>124</v>
      </c>
      <c r="F53" s="36"/>
      <c r="H53" s="172" t="s">
        <v>128</v>
      </c>
      <c r="I53" s="68">
        <v>0.10199999999999999</v>
      </c>
      <c r="J53" s="69">
        <v>0</v>
      </c>
      <c r="N53" s="204"/>
    </row>
    <row r="54" spans="2:14" ht="13" x14ac:dyDescent="0.3">
      <c r="F54" s="186"/>
    </row>
    <row r="55" spans="2:14" ht="13" x14ac:dyDescent="0.3">
      <c r="E55" s="50" t="s">
        <v>107</v>
      </c>
      <c r="F55" s="190"/>
      <c r="H55" s="172" t="s">
        <v>130</v>
      </c>
      <c r="I55" s="71" t="str">
        <f>IF(J53&lt;I53,"PASS","FAIL")</f>
        <v>PASS</v>
      </c>
      <c r="J55" s="72"/>
      <c r="M55" s="207"/>
    </row>
    <row r="56" spans="2:14" ht="13" x14ac:dyDescent="0.3">
      <c r="E56" s="51" t="s">
        <v>108</v>
      </c>
      <c r="F56" s="208"/>
      <c r="M56" s="207"/>
    </row>
    <row r="57" spans="2:14" ht="13" x14ac:dyDescent="0.25">
      <c r="B57" s="170" t="s">
        <v>25</v>
      </c>
      <c r="E57" s="190">
        <v>14328059.449999997</v>
      </c>
      <c r="F57" s="197"/>
      <c r="H57" s="73" t="s">
        <v>132</v>
      </c>
      <c r="I57" s="199"/>
      <c r="J57" s="199"/>
    </row>
    <row r="58" spans="2:14" ht="13" x14ac:dyDescent="0.3">
      <c r="B58" s="170" t="s">
        <v>127</v>
      </c>
      <c r="E58" s="208">
        <v>0</v>
      </c>
      <c r="F58" s="66"/>
      <c r="I58" s="74" t="s">
        <v>133</v>
      </c>
      <c r="J58" s="74" t="s">
        <v>134</v>
      </c>
    </row>
    <row r="59" spans="2:14" x14ac:dyDescent="0.25">
      <c r="B59" s="170" t="s">
        <v>33</v>
      </c>
      <c r="E59" s="197">
        <v>0</v>
      </c>
      <c r="H59" s="201" t="s">
        <v>135</v>
      </c>
      <c r="I59" s="75">
        <v>0.05</v>
      </c>
      <c r="J59" s="176">
        <f>'Apr24 Aggregate'!E22*0.05</f>
        <v>50000000</v>
      </c>
    </row>
    <row r="60" spans="2:14" x14ac:dyDescent="0.25">
      <c r="B60" s="170" t="s">
        <v>129</v>
      </c>
      <c r="E60" s="70">
        <f>SUM(E57:E59)</f>
        <v>14328059.449999997</v>
      </c>
      <c r="H60" s="201" t="s">
        <v>136</v>
      </c>
      <c r="I60" s="75">
        <f>IF(('Apr24 Aggregate'!$D$38-'Apr24 Aggregate'!$C$22)/'Apr24 Aggregate'!$C$22&lt;0,0,('Apr24 Aggregate'!$D$38-'Apr24 Aggregate'!$C$22)/'Apr24 Aggregate'!$C$22)</f>
        <v>1.1106321699899999</v>
      </c>
      <c r="J60" s="176">
        <f>IF(('Apr24 Aggregate'!$D$38-'Apr24 Aggregate'!$C$22)&lt;0,0,('Apr24 Aggregate'!$D$38-'Apr24 Aggregate'!$C$22))</f>
        <v>1110632169.99</v>
      </c>
    </row>
    <row r="61" spans="2:14" ht="25" x14ac:dyDescent="0.25">
      <c r="H61" s="205" t="s">
        <v>137</v>
      </c>
      <c r="I61" s="75"/>
      <c r="J61" s="203">
        <f>J60+'Apr24 Aggregate'!D22</f>
        <v>1110632169.99</v>
      </c>
    </row>
    <row r="62" spans="2:14" x14ac:dyDescent="0.25">
      <c r="H62" s="238" t="s">
        <v>138</v>
      </c>
      <c r="I62" s="238"/>
      <c r="J62" s="206" t="str">
        <f>IF(J61+J60 &gt; J59, "Yes", "No")</f>
        <v>Yes</v>
      </c>
    </row>
    <row r="63" spans="2:14" ht="12.75" customHeight="1" x14ac:dyDescent="0.25">
      <c r="H63" s="239" t="s">
        <v>140</v>
      </c>
      <c r="I63" s="239"/>
      <c r="J63" s="239"/>
    </row>
    <row r="64" spans="2:14" ht="12.75" customHeight="1" x14ac:dyDescent="0.25">
      <c r="H64" s="239"/>
      <c r="I64" s="239"/>
      <c r="J64" s="239"/>
    </row>
    <row r="65" spans="2:10" ht="12.75" customHeight="1" x14ac:dyDescent="0.25">
      <c r="H65" s="209"/>
      <c r="I65" s="209"/>
      <c r="J65" s="209"/>
    </row>
    <row r="66" spans="2:10" ht="12.75" customHeight="1" x14ac:dyDescent="0.25"/>
    <row r="67" spans="2:10" ht="12.75" customHeight="1" x14ac:dyDescent="0.25">
      <c r="B67" s="27" t="s">
        <v>173</v>
      </c>
      <c r="E67" s="210"/>
    </row>
  </sheetData>
  <mergeCells count="3">
    <mergeCell ref="H14:J14"/>
    <mergeCell ref="H62:I62"/>
    <mergeCell ref="H63:J64"/>
  </mergeCells>
  <conditionalFormatting sqref="I55">
    <cfRule type="cellIs" dxfId="6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31D10-B3CF-4B03-85CA-B0B5D2D11A49}">
  <sheetPr>
    <pageSetUpPr fitToPage="1"/>
  </sheetPr>
  <dimension ref="A1:O69"/>
  <sheetViews>
    <sheetView workbookViewId="0">
      <selection activeCell="C53" sqref="C53"/>
    </sheetView>
  </sheetViews>
  <sheetFormatPr defaultColWidth="19.81640625" defaultRowHeight="12.5" x14ac:dyDescent="0.25"/>
  <cols>
    <col min="1" max="1" width="19.81640625" style="28"/>
    <col min="2" max="2" width="31.54296875" style="28" customWidth="1"/>
    <col min="3" max="16384" width="19.81640625" style="28"/>
  </cols>
  <sheetData>
    <row r="1" spans="1:15" ht="13" x14ac:dyDescent="0.3">
      <c r="A1" s="156" t="s">
        <v>0</v>
      </c>
    </row>
    <row r="2" spans="1:15" ht="12.4" customHeight="1" x14ac:dyDescent="0.25"/>
    <row r="3" spans="1:15" ht="12.4" customHeight="1" x14ac:dyDescent="0.3">
      <c r="A3" s="76" t="s">
        <v>76</v>
      </c>
      <c r="B3" s="158" t="s">
        <v>2</v>
      </c>
      <c r="C3" s="158" t="s">
        <v>3</v>
      </c>
      <c r="D3" s="159" t="s">
        <v>4</v>
      </c>
      <c r="I3" s="160"/>
      <c r="J3" s="160"/>
      <c r="K3" s="160"/>
    </row>
    <row r="4" spans="1:15" ht="12.4" customHeight="1" x14ac:dyDescent="0.25">
      <c r="A4" s="211" t="s">
        <v>5</v>
      </c>
      <c r="B4" s="212">
        <v>45383</v>
      </c>
      <c r="C4" s="212">
        <v>45397</v>
      </c>
      <c r="D4" s="213">
        <f>C5</f>
        <v>45427</v>
      </c>
      <c r="I4" s="214"/>
      <c r="J4" s="214"/>
      <c r="K4" s="214"/>
    </row>
    <row r="5" spans="1:15" ht="12.4" customHeight="1" x14ac:dyDescent="0.25">
      <c r="A5" s="215" t="s">
        <v>6</v>
      </c>
      <c r="B5" s="214">
        <v>45412</v>
      </c>
      <c r="C5" s="214">
        <v>45427</v>
      </c>
      <c r="D5" s="167"/>
      <c r="I5" s="214"/>
      <c r="J5" s="214"/>
      <c r="K5" s="214"/>
    </row>
    <row r="6" spans="1:15" ht="12.4" customHeight="1" x14ac:dyDescent="0.25">
      <c r="A6" s="169" t="s">
        <v>7</v>
      </c>
      <c r="B6" s="34"/>
      <c r="C6" s="34"/>
      <c r="D6" s="88"/>
    </row>
    <row r="8" spans="1:15" ht="13" x14ac:dyDescent="0.3">
      <c r="A8" s="76" t="s">
        <v>141</v>
      </c>
      <c r="B8" s="77"/>
      <c r="C8" s="77"/>
      <c r="D8" s="77"/>
      <c r="E8" s="77"/>
      <c r="F8" s="77"/>
      <c r="G8" s="78"/>
    </row>
    <row r="9" spans="1:15" ht="13" x14ac:dyDescent="0.3">
      <c r="A9" s="76"/>
      <c r="B9" s="77"/>
      <c r="C9" s="77"/>
      <c r="D9" s="77"/>
      <c r="E9" s="77"/>
      <c r="F9" s="77"/>
      <c r="G9" s="78"/>
    </row>
    <row r="10" spans="1:15" ht="13" x14ac:dyDescent="0.3">
      <c r="A10" s="79"/>
      <c r="B10" s="80" t="s">
        <v>142</v>
      </c>
      <c r="C10" s="81" t="s">
        <v>143</v>
      </c>
      <c r="D10" s="81" t="s">
        <v>126</v>
      </c>
      <c r="E10" s="81" t="s">
        <v>144</v>
      </c>
      <c r="F10" s="216"/>
      <c r="G10" s="82"/>
      <c r="H10" s="216"/>
    </row>
    <row r="11" spans="1:15" ht="13" x14ac:dyDescent="0.3">
      <c r="A11" s="79"/>
      <c r="B11" s="217" t="s">
        <v>145</v>
      </c>
      <c r="C11" s="218">
        <v>197052856.47999999</v>
      </c>
      <c r="D11" s="219">
        <v>0.1</v>
      </c>
      <c r="E11" s="220">
        <v>0</v>
      </c>
      <c r="F11" s="220"/>
      <c r="G11" s="82"/>
      <c r="H11" s="220"/>
    </row>
    <row r="12" spans="1:15" ht="13" x14ac:dyDescent="0.3">
      <c r="A12" s="79"/>
      <c r="B12" s="217" t="s">
        <v>146</v>
      </c>
      <c r="C12" s="218">
        <v>67759852.659999996</v>
      </c>
      <c r="D12" s="221">
        <v>0.04</v>
      </c>
      <c r="E12" s="220">
        <v>0</v>
      </c>
      <c r="F12" s="220"/>
      <c r="G12" s="82"/>
      <c r="H12" s="220"/>
      <c r="M12" s="83"/>
      <c r="N12" s="84"/>
      <c r="O12" s="222"/>
    </row>
    <row r="13" spans="1:15" ht="13" x14ac:dyDescent="0.3">
      <c r="A13" s="79"/>
      <c r="B13" s="217" t="s">
        <v>147</v>
      </c>
      <c r="C13" s="218">
        <v>51187756.57</v>
      </c>
      <c r="D13" s="221">
        <v>3.5000000000000003E-2</v>
      </c>
      <c r="E13" s="220">
        <v>0</v>
      </c>
      <c r="F13" s="220"/>
      <c r="G13" s="82"/>
      <c r="H13" s="220"/>
    </row>
    <row r="14" spans="1:15" ht="13" x14ac:dyDescent="0.3">
      <c r="A14" s="79"/>
      <c r="B14" s="217" t="s">
        <v>148</v>
      </c>
      <c r="C14" s="218">
        <v>46602652.090000004</v>
      </c>
      <c r="D14" s="221">
        <v>3.2500000000000001E-2</v>
      </c>
      <c r="E14" s="220">
        <v>0</v>
      </c>
      <c r="F14" s="220"/>
      <c r="G14" s="82"/>
      <c r="H14" s="220"/>
    </row>
    <row r="15" spans="1:15" ht="13" x14ac:dyDescent="0.3">
      <c r="A15" s="79"/>
      <c r="B15" s="217" t="s">
        <v>149</v>
      </c>
      <c r="C15" s="218">
        <v>46501776.93</v>
      </c>
      <c r="D15" s="221">
        <v>0.03</v>
      </c>
      <c r="E15" s="220">
        <v>0</v>
      </c>
      <c r="F15" s="220"/>
      <c r="G15" s="82"/>
      <c r="H15" s="220"/>
    </row>
    <row r="16" spans="1:15" ht="13" x14ac:dyDescent="0.3">
      <c r="A16" s="79"/>
      <c r="B16" s="217" t="s">
        <v>150</v>
      </c>
      <c r="C16" s="218">
        <v>43293159.75</v>
      </c>
      <c r="D16" s="221">
        <v>2.5000000000000001E-2</v>
      </c>
      <c r="E16" s="220">
        <v>0</v>
      </c>
      <c r="F16" s="220"/>
      <c r="G16" s="82"/>
      <c r="H16" s="220"/>
    </row>
    <row r="17" spans="1:13" ht="13" x14ac:dyDescent="0.3">
      <c r="A17" s="79"/>
      <c r="B17" s="217" t="s">
        <v>174</v>
      </c>
      <c r="C17" s="218">
        <v>38885965.240000002</v>
      </c>
      <c r="D17" s="221">
        <v>0.02</v>
      </c>
      <c r="E17" s="220">
        <v>0</v>
      </c>
      <c r="F17" s="220"/>
      <c r="G17" s="82"/>
      <c r="H17" s="220"/>
    </row>
    <row r="18" spans="1:13" ht="13" x14ac:dyDescent="0.3">
      <c r="A18" s="79"/>
      <c r="B18" s="217" t="s">
        <v>175</v>
      </c>
      <c r="C18" s="87">
        <v>38651455.520000003</v>
      </c>
      <c r="D18" s="223">
        <v>0.02</v>
      </c>
      <c r="E18" s="224">
        <v>0</v>
      </c>
      <c r="F18" s="220"/>
      <c r="G18" s="82"/>
      <c r="H18" s="220"/>
    </row>
    <row r="19" spans="1:13" ht="13" x14ac:dyDescent="0.3">
      <c r="A19" s="79"/>
      <c r="B19" s="225"/>
      <c r="C19" s="220">
        <f>SUM(C11:C18)</f>
        <v>529935475.23999995</v>
      </c>
      <c r="D19" s="226"/>
      <c r="F19" s="220"/>
      <c r="G19" s="227"/>
      <c r="H19" s="220"/>
    </row>
    <row r="20" spans="1:13" x14ac:dyDescent="0.25">
      <c r="A20" s="79"/>
      <c r="B20" s="217"/>
      <c r="C20" s="217"/>
      <c r="D20" s="217"/>
      <c r="F20" s="217"/>
      <c r="G20" s="228"/>
      <c r="H20" s="217"/>
    </row>
    <row r="21" spans="1:13" ht="13" x14ac:dyDescent="0.3">
      <c r="A21" s="85"/>
      <c r="B21" s="34"/>
      <c r="C21" s="86" t="s">
        <v>151</v>
      </c>
      <c r="D21" s="34"/>
      <c r="E21" s="87">
        <f>SUM(E11:E18)</f>
        <v>0</v>
      </c>
      <c r="F21" s="34"/>
      <c r="G21" s="88"/>
      <c r="H21" s="218"/>
    </row>
    <row r="23" spans="1:13" ht="13" x14ac:dyDescent="0.3">
      <c r="A23" s="76" t="s">
        <v>152</v>
      </c>
      <c r="B23" s="77"/>
      <c r="C23" s="89" t="s">
        <v>126</v>
      </c>
      <c r="D23" s="89" t="s">
        <v>101</v>
      </c>
      <c r="E23" s="90" t="s">
        <v>130</v>
      </c>
    </row>
    <row r="24" spans="1:13" x14ac:dyDescent="0.25">
      <c r="A24" s="79"/>
      <c r="E24" s="82"/>
    </row>
    <row r="25" spans="1:13" ht="13" x14ac:dyDescent="0.3">
      <c r="A25" s="79" t="s">
        <v>153</v>
      </c>
      <c r="C25" s="83">
        <v>0.25</v>
      </c>
      <c r="D25" s="84">
        <v>0.4881465588382648</v>
      </c>
      <c r="E25" s="91" t="str">
        <f>IF(D25&gt;=C25,"PASS","FAIL")</f>
        <v>PASS</v>
      </c>
    </row>
    <row r="26" spans="1:13" x14ac:dyDescent="0.25">
      <c r="A26" s="79"/>
      <c r="E26" s="82"/>
    </row>
    <row r="27" spans="1:13" ht="13" x14ac:dyDescent="0.3">
      <c r="A27" s="79" t="s">
        <v>87</v>
      </c>
      <c r="C27" s="92">
        <v>226992000.00000009</v>
      </c>
      <c r="D27" s="92">
        <v>226992000.00000009</v>
      </c>
      <c r="E27" s="91" t="str">
        <f>IF(D27&gt;=C27,"PASS","FAIL")</f>
        <v>PASS</v>
      </c>
      <c r="G27" s="76" t="s">
        <v>154</v>
      </c>
      <c r="H27" s="77"/>
      <c r="I27" s="89"/>
      <c r="J27" s="90"/>
      <c r="K27" s="229"/>
      <c r="L27" s="229"/>
      <c r="M27" s="229"/>
    </row>
    <row r="28" spans="1:13" x14ac:dyDescent="0.25">
      <c r="A28" s="85"/>
      <c r="B28" s="34"/>
      <c r="C28" s="34"/>
      <c r="D28" s="34"/>
      <c r="E28" s="88"/>
      <c r="G28" s="79"/>
      <c r="H28" s="229" t="s">
        <v>155</v>
      </c>
      <c r="I28" s="229" t="s">
        <v>156</v>
      </c>
      <c r="J28" s="93" t="s">
        <v>130</v>
      </c>
      <c r="M28" s="229"/>
    </row>
    <row r="29" spans="1:13" ht="13" x14ac:dyDescent="0.3">
      <c r="C29" s="84"/>
      <c r="D29" s="84"/>
      <c r="E29" s="222"/>
      <c r="G29" s="79"/>
      <c r="H29" s="229"/>
      <c r="I29" s="229"/>
      <c r="J29" s="93"/>
      <c r="M29" s="229"/>
    </row>
    <row r="30" spans="1:13" ht="13" x14ac:dyDescent="0.3">
      <c r="A30" s="76" t="s">
        <v>157</v>
      </c>
      <c r="B30" s="77"/>
      <c r="C30" s="77"/>
      <c r="D30" s="77"/>
      <c r="E30" s="78"/>
      <c r="G30" s="79"/>
      <c r="J30" s="82"/>
    </row>
    <row r="31" spans="1:13" ht="13" x14ac:dyDescent="0.3">
      <c r="A31" s="94"/>
      <c r="D31" s="95"/>
      <c r="E31" s="82"/>
      <c r="G31" s="79" t="s">
        <v>158</v>
      </c>
      <c r="H31" s="96">
        <v>0</v>
      </c>
      <c r="I31" s="96">
        <v>300000000</v>
      </c>
      <c r="J31" s="97" t="str">
        <f>IF(OR(H31&lt;I31, AND(H31=0,I31=0)),"Pass", "Fail")</f>
        <v>Pass</v>
      </c>
      <c r="K31" s="98"/>
      <c r="M31" s="98"/>
    </row>
    <row r="32" spans="1:13" ht="13" x14ac:dyDescent="0.3">
      <c r="A32" s="94" t="s">
        <v>160</v>
      </c>
      <c r="B32" s="28" t="s">
        <v>161</v>
      </c>
      <c r="E32" s="99">
        <v>0</v>
      </c>
      <c r="G32" s="100"/>
      <c r="H32" s="98"/>
      <c r="I32" s="96"/>
      <c r="J32" s="93"/>
      <c r="K32" s="98"/>
      <c r="M32" s="222"/>
    </row>
    <row r="33" spans="1:13" ht="13" x14ac:dyDescent="0.3">
      <c r="A33" s="94"/>
      <c r="E33" s="101"/>
      <c r="G33" s="79" t="s">
        <v>162</v>
      </c>
      <c r="H33" s="96">
        <v>0</v>
      </c>
      <c r="I33" s="96">
        <v>300000000</v>
      </c>
      <c r="J33" s="97" t="str">
        <f>IF(H33&lt;I33,"Pass", "Fail")</f>
        <v>Pass</v>
      </c>
      <c r="K33" s="98"/>
    </row>
    <row r="34" spans="1:13" x14ac:dyDescent="0.25">
      <c r="A34" s="94" t="s">
        <v>163</v>
      </c>
      <c r="B34" s="28" t="s">
        <v>164</v>
      </c>
      <c r="E34" s="99">
        <f>E21</f>
        <v>0</v>
      </c>
      <c r="F34" s="96"/>
      <c r="G34" s="79"/>
      <c r="I34" s="96"/>
      <c r="J34" s="82"/>
    </row>
    <row r="35" spans="1:13" ht="13" x14ac:dyDescent="0.3">
      <c r="A35" s="94"/>
      <c r="E35" s="99"/>
      <c r="G35" s="79" t="s">
        <v>165</v>
      </c>
      <c r="H35" s="96">
        <v>0</v>
      </c>
      <c r="I35" s="96">
        <v>600000000</v>
      </c>
      <c r="J35" s="97" t="str">
        <f>IF(H35&lt;I35,"Pass", "Fail")</f>
        <v>Pass</v>
      </c>
    </row>
    <row r="36" spans="1:13" ht="13" x14ac:dyDescent="0.3">
      <c r="A36" s="79"/>
      <c r="C36" s="102" t="s">
        <v>143</v>
      </c>
      <c r="D36" s="102" t="s">
        <v>126</v>
      </c>
      <c r="E36" s="82"/>
      <c r="G36" s="79"/>
      <c r="H36" s="96"/>
      <c r="I36" s="96"/>
      <c r="J36" s="97"/>
      <c r="K36" s="98"/>
    </row>
    <row r="37" spans="1:13" x14ac:dyDescent="0.25">
      <c r="A37" s="94" t="s">
        <v>166</v>
      </c>
      <c r="B37" s="28" t="s">
        <v>167</v>
      </c>
      <c r="C37" s="230">
        <v>319507277.49000001</v>
      </c>
      <c r="D37" s="83">
        <v>0.2</v>
      </c>
      <c r="E37" s="227">
        <v>0</v>
      </c>
      <c r="G37" s="79"/>
      <c r="J37" s="82"/>
    </row>
    <row r="38" spans="1:13" ht="13" x14ac:dyDescent="0.3">
      <c r="A38" s="79"/>
      <c r="D38" s="83"/>
      <c r="E38" s="103"/>
      <c r="G38" s="106" t="s">
        <v>169</v>
      </c>
      <c r="H38" s="231"/>
      <c r="J38" s="97" t="str">
        <f>IF(AND(J31="Fail",J33="Fail",J35="Fail"),"Yes","No")</f>
        <v>No</v>
      </c>
      <c r="K38" s="231"/>
      <c r="L38" s="231"/>
      <c r="M38" s="231"/>
    </row>
    <row r="39" spans="1:13" ht="13" x14ac:dyDescent="0.3">
      <c r="A39" s="85"/>
      <c r="B39" s="104" t="s">
        <v>168</v>
      </c>
      <c r="C39" s="34"/>
      <c r="D39" s="34"/>
      <c r="E39" s="105">
        <f>SUM(E32:E37)</f>
        <v>0</v>
      </c>
      <c r="G39" s="85"/>
      <c r="H39" s="34"/>
      <c r="I39" s="34"/>
      <c r="J39" s="88"/>
    </row>
    <row r="41" spans="1:13" x14ac:dyDescent="0.25">
      <c r="G41" s="27" t="s">
        <v>170</v>
      </c>
    </row>
    <row r="42" spans="1:13" ht="13" x14ac:dyDescent="0.3">
      <c r="F42" s="232"/>
    </row>
    <row r="43" spans="1:13" x14ac:dyDescent="0.25">
      <c r="A43" s="233"/>
      <c r="D43" s="83"/>
      <c r="E43" s="83"/>
    </row>
    <row r="44" spans="1:13" x14ac:dyDescent="0.25">
      <c r="A44" s="233"/>
      <c r="D44" s="83"/>
      <c r="E44" s="83"/>
    </row>
    <row r="45" spans="1:13" ht="13" x14ac:dyDescent="0.3">
      <c r="C45" s="83"/>
      <c r="D45" s="83"/>
      <c r="H45" s="232"/>
    </row>
    <row r="50" spans="3:9" ht="13" x14ac:dyDescent="0.3">
      <c r="C50" s="225"/>
      <c r="D50" s="217"/>
      <c r="E50" s="217"/>
      <c r="F50" s="107"/>
    </row>
    <row r="51" spans="3:9" ht="13" x14ac:dyDescent="0.3">
      <c r="C51" s="234"/>
      <c r="D51" s="216"/>
      <c r="E51" s="216"/>
      <c r="F51" s="216"/>
      <c r="G51" s="217"/>
      <c r="H51" s="217"/>
      <c r="I51" s="217"/>
    </row>
    <row r="52" spans="3:9" ht="13" x14ac:dyDescent="0.3">
      <c r="C52" s="217"/>
      <c r="D52" s="220"/>
      <c r="E52" s="235"/>
      <c r="F52" s="220"/>
      <c r="G52" s="216"/>
      <c r="H52" s="216"/>
      <c r="I52" s="216"/>
    </row>
    <row r="53" spans="3:9" x14ac:dyDescent="0.25">
      <c r="C53" s="217"/>
      <c r="D53" s="220"/>
      <c r="E53" s="235"/>
      <c r="F53" s="220"/>
      <c r="G53" s="236"/>
      <c r="H53" s="236"/>
      <c r="I53" s="221"/>
    </row>
    <row r="54" spans="3:9" x14ac:dyDescent="0.25">
      <c r="C54" s="217"/>
      <c r="D54" s="217"/>
      <c r="E54" s="217"/>
      <c r="F54" s="217"/>
      <c r="G54" s="236"/>
      <c r="H54" s="236"/>
      <c r="I54" s="221"/>
    </row>
    <row r="55" spans="3:9" ht="13" x14ac:dyDescent="0.3">
      <c r="C55" s="225"/>
      <c r="D55" s="220"/>
      <c r="E55" s="226"/>
      <c r="F55" s="220"/>
      <c r="G55" s="217"/>
      <c r="H55" s="217"/>
      <c r="I55" s="217"/>
    </row>
    <row r="56" spans="3:9" x14ac:dyDescent="0.25">
      <c r="C56" s="217"/>
      <c r="D56" s="217"/>
      <c r="E56" s="217"/>
      <c r="F56" s="217"/>
      <c r="G56" s="220"/>
      <c r="H56" s="220"/>
      <c r="I56" s="220"/>
    </row>
    <row r="57" spans="3:9" ht="13" x14ac:dyDescent="0.3">
      <c r="C57" s="225"/>
      <c r="D57" s="217"/>
      <c r="E57" s="217"/>
      <c r="F57" s="220"/>
      <c r="G57" s="217"/>
      <c r="H57" s="217"/>
      <c r="I57" s="217"/>
    </row>
    <row r="58" spans="3:9" x14ac:dyDescent="0.25">
      <c r="C58" s="217"/>
      <c r="D58" s="217"/>
      <c r="E58" s="217"/>
      <c r="F58" s="217"/>
      <c r="G58" s="217"/>
      <c r="H58" s="217"/>
      <c r="I58" s="217"/>
    </row>
    <row r="59" spans="3:9" ht="13" x14ac:dyDescent="0.3">
      <c r="C59" s="225"/>
      <c r="D59" s="217"/>
      <c r="E59" s="217"/>
      <c r="F59" s="217"/>
      <c r="G59" s="217"/>
      <c r="H59" s="217"/>
      <c r="I59" s="217"/>
    </row>
    <row r="60" spans="3:9" ht="13" x14ac:dyDescent="0.3">
      <c r="C60" s="234"/>
      <c r="D60" s="216"/>
      <c r="E60" s="216"/>
      <c r="F60" s="216"/>
      <c r="G60" s="217"/>
      <c r="H60" s="217"/>
      <c r="I60" s="217"/>
    </row>
    <row r="61" spans="3:9" x14ac:dyDescent="0.25">
      <c r="C61" s="217"/>
      <c r="D61" s="220"/>
      <c r="E61" s="235"/>
      <c r="F61" s="220"/>
      <c r="G61" s="217"/>
      <c r="H61" s="217"/>
      <c r="I61" s="217"/>
    </row>
    <row r="62" spans="3:9" x14ac:dyDescent="0.25">
      <c r="C62" s="217"/>
      <c r="D62" s="220"/>
      <c r="E62" s="235"/>
      <c r="F62" s="220"/>
      <c r="G62" s="217"/>
      <c r="H62" s="217"/>
      <c r="I62" s="217"/>
    </row>
    <row r="63" spans="3:9" x14ac:dyDescent="0.25">
      <c r="C63" s="217"/>
      <c r="D63" s="217"/>
      <c r="E63" s="217"/>
      <c r="F63" s="217"/>
      <c r="G63" s="217"/>
      <c r="H63" s="217"/>
      <c r="I63" s="217"/>
    </row>
    <row r="64" spans="3:9" ht="13" x14ac:dyDescent="0.3">
      <c r="C64" s="225"/>
      <c r="D64" s="220"/>
      <c r="E64" s="226"/>
      <c r="F64" s="220"/>
      <c r="G64" s="217"/>
      <c r="H64" s="217"/>
      <c r="I64" s="217"/>
    </row>
    <row r="65" spans="3:9" x14ac:dyDescent="0.25">
      <c r="C65" s="217"/>
      <c r="D65" s="217"/>
      <c r="E65" s="217"/>
      <c r="F65" s="217"/>
      <c r="G65" s="217"/>
      <c r="H65" s="217"/>
      <c r="I65" s="217"/>
    </row>
    <row r="66" spans="3:9" ht="13" x14ac:dyDescent="0.3">
      <c r="C66" s="225"/>
      <c r="D66" s="225"/>
      <c r="E66" s="225"/>
      <c r="F66" s="218"/>
      <c r="G66" s="217"/>
      <c r="H66" s="217"/>
      <c r="I66" s="217"/>
    </row>
    <row r="67" spans="3:9" ht="13" x14ac:dyDescent="0.3">
      <c r="C67" s="217"/>
      <c r="D67" s="217"/>
      <c r="E67" s="217"/>
      <c r="F67" s="217"/>
      <c r="G67" s="225"/>
      <c r="H67" s="225"/>
      <c r="I67" s="225"/>
    </row>
    <row r="68" spans="3:9" x14ac:dyDescent="0.25">
      <c r="C68" s="217"/>
      <c r="D68" s="217"/>
      <c r="E68" s="217"/>
      <c r="F68" s="217"/>
      <c r="G68" s="217"/>
      <c r="H68" s="217"/>
      <c r="I68" s="217"/>
    </row>
    <row r="69" spans="3:9" x14ac:dyDescent="0.25">
      <c r="G69" s="217"/>
      <c r="H69" s="217"/>
      <c r="I69" s="217"/>
    </row>
  </sheetData>
  <pageMargins left="0.2" right="0.22" top="0.5" bottom="0.5" header="0.5" footer="0.5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EC90-0709-4472-874E-1D9089AD6EDE}">
  <sheetPr>
    <pageSetUpPr fitToPage="1"/>
  </sheetPr>
  <dimension ref="A1:S69"/>
  <sheetViews>
    <sheetView workbookViewId="0">
      <selection activeCell="C14" sqref="C14"/>
    </sheetView>
  </sheetViews>
  <sheetFormatPr defaultColWidth="16.54296875" defaultRowHeight="12.5" x14ac:dyDescent="0.25"/>
  <cols>
    <col min="1" max="1" width="16.54296875" style="1"/>
    <col min="2" max="2" width="19.54296875" style="1" customWidth="1"/>
    <col min="3" max="3" width="21.81640625" style="1" customWidth="1"/>
    <col min="4" max="4" width="19.1796875" style="1" bestFit="1" customWidth="1"/>
    <col min="5" max="5" width="26.81640625" style="1" customWidth="1"/>
    <col min="6" max="6" width="25.1796875" style="1" customWidth="1"/>
    <col min="7" max="7" width="23.1796875" style="1" customWidth="1"/>
    <col min="8" max="8" width="19.81640625" style="1" customWidth="1"/>
    <col min="9" max="9" width="19.7265625" style="1" bestFit="1" customWidth="1"/>
    <col min="10" max="10" width="20.81640625" style="1" bestFit="1" customWidth="1"/>
    <col min="11" max="11" width="18.81640625" style="1" bestFit="1" customWidth="1"/>
    <col min="12" max="12" width="21.453125" style="1" bestFit="1" customWidth="1"/>
    <col min="13" max="16384" width="16.54296875" style="1"/>
  </cols>
  <sheetData>
    <row r="1" spans="1:19" ht="13" x14ac:dyDescent="0.3">
      <c r="A1" s="109" t="s">
        <v>0</v>
      </c>
      <c r="G1" s="110"/>
      <c r="H1" s="110"/>
      <c r="K1" s="8"/>
    </row>
    <row r="2" spans="1:19" x14ac:dyDescent="0.25">
      <c r="G2" s="110"/>
      <c r="H2" s="110"/>
      <c r="K2" s="8"/>
    </row>
    <row r="3" spans="1:19" ht="13" x14ac:dyDescent="0.3">
      <c r="A3" s="111" t="s">
        <v>1</v>
      </c>
      <c r="B3" s="112" t="s">
        <v>2</v>
      </c>
      <c r="C3" s="112" t="s">
        <v>3</v>
      </c>
      <c r="D3" s="113" t="s">
        <v>4</v>
      </c>
      <c r="G3" s="110"/>
      <c r="H3" s="110"/>
      <c r="K3" s="114"/>
    </row>
    <row r="4" spans="1:19" x14ac:dyDescent="0.25">
      <c r="A4" s="115" t="s">
        <v>5</v>
      </c>
      <c r="B4" s="116">
        <v>45352</v>
      </c>
      <c r="C4" s="117">
        <v>45366</v>
      </c>
      <c r="D4" s="118">
        <v>45397</v>
      </c>
      <c r="G4" s="110"/>
      <c r="H4" s="110"/>
    </row>
    <row r="5" spans="1:19" x14ac:dyDescent="0.25">
      <c r="A5" s="115" t="s">
        <v>6</v>
      </c>
      <c r="B5" s="117">
        <v>45382</v>
      </c>
      <c r="C5" s="117">
        <v>45397</v>
      </c>
      <c r="D5" s="118"/>
      <c r="L5" s="119"/>
    </row>
    <row r="6" spans="1:19" x14ac:dyDescent="0.25">
      <c r="A6" s="120" t="s">
        <v>7</v>
      </c>
      <c r="B6" s="2"/>
      <c r="C6" s="2"/>
      <c r="D6" s="121"/>
      <c r="L6" s="119"/>
    </row>
    <row r="7" spans="1:19" x14ac:dyDescent="0.25">
      <c r="A7" s="119"/>
      <c r="C7" s="119"/>
      <c r="F7" s="122"/>
      <c r="J7" s="3"/>
      <c r="K7" s="4"/>
    </row>
    <row r="8" spans="1:19" ht="13" x14ac:dyDescent="0.3">
      <c r="A8" s="123" t="s">
        <v>8</v>
      </c>
      <c r="C8" s="119"/>
      <c r="F8" s="122"/>
      <c r="G8" s="13"/>
      <c r="J8" s="3"/>
      <c r="K8" s="4"/>
    </row>
    <row r="9" spans="1:19" ht="13" x14ac:dyDescent="0.3">
      <c r="A9" s="7"/>
      <c r="B9" s="7"/>
      <c r="C9" s="124"/>
      <c r="D9" s="124"/>
      <c r="E9" s="124"/>
      <c r="F9" s="124"/>
      <c r="G9" s="124"/>
      <c r="H9" s="124"/>
      <c r="I9" s="124"/>
      <c r="J9" s="5"/>
      <c r="K9" s="124"/>
      <c r="M9" s="124"/>
      <c r="O9" s="124"/>
      <c r="P9" s="124"/>
      <c r="S9" s="124"/>
    </row>
    <row r="10" spans="1:19" ht="39" x14ac:dyDescent="0.3">
      <c r="A10" s="125" t="s">
        <v>9</v>
      </c>
      <c r="B10" s="126"/>
      <c r="C10" s="127" t="s">
        <v>10</v>
      </c>
      <c r="D10" s="127" t="s">
        <v>11</v>
      </c>
      <c r="E10" s="127" t="s">
        <v>12</v>
      </c>
      <c r="F10" s="127" t="s">
        <v>13</v>
      </c>
      <c r="G10" s="127" t="s">
        <v>14</v>
      </c>
      <c r="H10" s="127" t="s">
        <v>15</v>
      </c>
      <c r="I10" s="127" t="s">
        <v>16</v>
      </c>
      <c r="J10" s="127" t="s">
        <v>17</v>
      </c>
      <c r="K10" s="127" t="s">
        <v>18</v>
      </c>
      <c r="M10" s="124"/>
      <c r="O10" s="124"/>
      <c r="P10" s="124"/>
      <c r="S10" s="124"/>
    </row>
    <row r="11" spans="1:19" x14ac:dyDescent="0.25">
      <c r="A11" s="1" t="s">
        <v>171</v>
      </c>
      <c r="C11" s="13">
        <v>0</v>
      </c>
      <c r="D11" s="13">
        <v>0</v>
      </c>
      <c r="E11" s="128">
        <v>0</v>
      </c>
      <c r="F11" s="128">
        <v>0</v>
      </c>
      <c r="G11" s="128">
        <v>0</v>
      </c>
      <c r="H11" s="13">
        <v>0</v>
      </c>
      <c r="I11" s="129">
        <v>0</v>
      </c>
      <c r="J11" s="129">
        <v>0</v>
      </c>
      <c r="K11" s="9">
        <v>0</v>
      </c>
      <c r="L11" s="6"/>
      <c r="O11" s="130"/>
      <c r="P11" s="130"/>
      <c r="S11" s="130"/>
    </row>
    <row r="12" spans="1:19" x14ac:dyDescent="0.25">
      <c r="A12" s="1" t="s">
        <v>172</v>
      </c>
      <c r="C12" s="13">
        <v>0</v>
      </c>
      <c r="D12" s="13">
        <v>0</v>
      </c>
      <c r="E12" s="128">
        <v>0</v>
      </c>
      <c r="F12" s="128">
        <v>0</v>
      </c>
      <c r="G12" s="128">
        <v>0</v>
      </c>
      <c r="H12" s="13">
        <v>0</v>
      </c>
      <c r="I12" s="129">
        <v>0</v>
      </c>
      <c r="J12" s="129">
        <v>0</v>
      </c>
      <c r="K12" s="9">
        <v>0</v>
      </c>
      <c r="L12" s="6"/>
      <c r="O12" s="130"/>
      <c r="P12" s="130"/>
      <c r="S12" s="130"/>
    </row>
    <row r="13" spans="1:19" ht="3" customHeight="1" x14ac:dyDescent="0.25">
      <c r="C13" s="13"/>
      <c r="D13" s="13"/>
      <c r="E13" s="128"/>
      <c r="F13" s="128"/>
      <c r="G13" s="128"/>
      <c r="H13" s="13"/>
      <c r="I13" s="129"/>
      <c r="J13" s="129"/>
      <c r="K13" s="9"/>
      <c r="L13" s="6"/>
      <c r="O13" s="130"/>
      <c r="P13" s="130"/>
      <c r="S13" s="130"/>
    </row>
    <row r="14" spans="1:19" s="7" customFormat="1" ht="13" x14ac:dyDescent="0.3">
      <c r="A14" s="131" t="s">
        <v>19</v>
      </c>
      <c r="B14" s="132"/>
      <c r="C14" s="133">
        <v>0</v>
      </c>
      <c r="D14" s="133">
        <v>0</v>
      </c>
      <c r="E14" s="134">
        <v>0</v>
      </c>
      <c r="F14" s="134">
        <v>0</v>
      </c>
      <c r="G14" s="134">
        <v>0</v>
      </c>
      <c r="H14" s="133">
        <v>0</v>
      </c>
      <c r="I14" s="133">
        <v>0</v>
      </c>
      <c r="J14" s="133">
        <v>0</v>
      </c>
      <c r="K14" s="135">
        <v>0</v>
      </c>
      <c r="L14" s="136"/>
      <c r="O14" s="136"/>
      <c r="P14" s="136"/>
      <c r="S14" s="137"/>
    </row>
    <row r="15" spans="1:19" x14ac:dyDescent="0.25">
      <c r="H15" s="8"/>
      <c r="I15" s="8"/>
      <c r="J15" s="8"/>
      <c r="K15" s="9"/>
    </row>
    <row r="16" spans="1:19" ht="13" x14ac:dyDescent="0.3">
      <c r="A16" s="123" t="s">
        <v>20</v>
      </c>
      <c r="C16" s="119"/>
      <c r="G16" s="13"/>
      <c r="H16" s="8"/>
      <c r="I16" s="8"/>
      <c r="J16" s="8"/>
      <c r="K16" s="9"/>
    </row>
    <row r="17" spans="1:19" ht="13" x14ac:dyDescent="0.3">
      <c r="F17" s="123"/>
      <c r="G17" s="13"/>
      <c r="H17" s="8"/>
      <c r="I17" s="8"/>
      <c r="J17" s="8"/>
      <c r="K17" s="9"/>
    </row>
    <row r="18" spans="1:19" ht="39" x14ac:dyDescent="0.3">
      <c r="A18" s="125" t="s">
        <v>9</v>
      </c>
      <c r="B18" s="126"/>
      <c r="C18" s="127" t="s">
        <v>10</v>
      </c>
      <c r="D18" s="127" t="s">
        <v>11</v>
      </c>
      <c r="E18" s="127" t="s">
        <v>12</v>
      </c>
      <c r="F18" s="127" t="s">
        <v>21</v>
      </c>
      <c r="G18" s="127" t="s">
        <v>14</v>
      </c>
      <c r="H18" s="127" t="s">
        <v>15</v>
      </c>
      <c r="I18" s="127" t="s">
        <v>16</v>
      </c>
      <c r="J18" s="127" t="s">
        <v>17</v>
      </c>
      <c r="K18" s="138" t="s">
        <v>18</v>
      </c>
      <c r="M18" s="124"/>
      <c r="O18" s="124"/>
      <c r="P18" s="124"/>
      <c r="S18" s="124"/>
    </row>
    <row r="19" spans="1:19" x14ac:dyDescent="0.25">
      <c r="A19" s="1" t="s">
        <v>171</v>
      </c>
      <c r="C19" s="13">
        <v>500000000</v>
      </c>
      <c r="D19" s="13">
        <v>0</v>
      </c>
      <c r="E19" s="13">
        <v>500000000</v>
      </c>
      <c r="F19" s="10">
        <v>113835116.81802718</v>
      </c>
      <c r="G19" s="13">
        <v>613835116.81802714</v>
      </c>
      <c r="H19" s="13">
        <v>339116.81802713964</v>
      </c>
      <c r="I19" s="139">
        <v>411368266.99697292</v>
      </c>
      <c r="J19" s="129">
        <v>1025203383.8150001</v>
      </c>
      <c r="K19" s="9">
        <v>0.5</v>
      </c>
      <c r="L19" s="6"/>
      <c r="M19" s="10"/>
      <c r="O19" s="130"/>
      <c r="P19" s="130"/>
      <c r="S19" s="130"/>
    </row>
    <row r="20" spans="1:19" x14ac:dyDescent="0.25">
      <c r="A20" s="1" t="s">
        <v>172</v>
      </c>
      <c r="C20" s="13">
        <v>500000000</v>
      </c>
      <c r="D20" s="13">
        <v>0</v>
      </c>
      <c r="E20" s="13">
        <v>500000000</v>
      </c>
      <c r="F20" s="10">
        <v>113835116.81802718</v>
      </c>
      <c r="G20" s="13">
        <v>613835116.81802714</v>
      </c>
      <c r="H20" s="13">
        <v>339116.81802713964</v>
      </c>
      <c r="I20" s="139">
        <v>411368266.99697292</v>
      </c>
      <c r="J20" s="129">
        <v>1025203383.8150001</v>
      </c>
      <c r="K20" s="9">
        <v>0.5</v>
      </c>
      <c r="L20" s="11"/>
      <c r="M20" s="10"/>
      <c r="O20" s="130"/>
      <c r="P20" s="130"/>
      <c r="S20" s="130"/>
    </row>
    <row r="21" spans="1:19" ht="3.75" customHeight="1" x14ac:dyDescent="0.25">
      <c r="C21" s="13"/>
      <c r="D21" s="13"/>
      <c r="E21" s="13"/>
      <c r="F21" s="10"/>
      <c r="G21" s="13"/>
      <c r="H21" s="13"/>
      <c r="I21" s="140"/>
      <c r="J21" s="129"/>
      <c r="K21" s="9"/>
      <c r="L21" s="6"/>
      <c r="M21" s="10"/>
      <c r="O21" s="130"/>
      <c r="P21" s="130"/>
      <c r="S21" s="130"/>
    </row>
    <row r="22" spans="1:19" s="7" customFormat="1" ht="13" x14ac:dyDescent="0.3">
      <c r="A22" s="131" t="s">
        <v>19</v>
      </c>
      <c r="B22" s="132"/>
      <c r="C22" s="141">
        <v>1000000000</v>
      </c>
      <c r="D22" s="141">
        <v>0</v>
      </c>
      <c r="E22" s="141">
        <v>1000000000</v>
      </c>
      <c r="F22" s="141">
        <v>227670233.63605437</v>
      </c>
      <c r="G22" s="141">
        <v>1227670233.6360543</v>
      </c>
      <c r="H22" s="133">
        <v>678233.63605427928</v>
      </c>
      <c r="I22" s="133">
        <v>822736533.99394584</v>
      </c>
      <c r="J22" s="133">
        <v>2050406767.6300001</v>
      </c>
      <c r="K22" s="12">
        <v>1</v>
      </c>
      <c r="L22" s="136"/>
      <c r="O22" s="136"/>
      <c r="P22" s="136"/>
      <c r="S22" s="137"/>
    </row>
    <row r="23" spans="1:19" ht="13" x14ac:dyDescent="0.3">
      <c r="A23" s="123"/>
      <c r="C23" s="13"/>
      <c r="D23" s="13"/>
      <c r="E23" s="13"/>
      <c r="F23" s="13"/>
      <c r="G23" s="13"/>
      <c r="H23" s="13"/>
      <c r="I23" s="13"/>
      <c r="J23" s="13"/>
      <c r="K23" s="142"/>
      <c r="L23" s="13"/>
      <c r="O23" s="13"/>
      <c r="P23" s="13"/>
      <c r="S23" s="143"/>
    </row>
    <row r="24" spans="1:19" ht="13" x14ac:dyDescent="0.3">
      <c r="A24" s="123"/>
      <c r="C24" s="13"/>
      <c r="D24" s="13"/>
      <c r="E24" s="13"/>
      <c r="F24" s="144"/>
      <c r="G24" s="13"/>
      <c r="H24" s="13"/>
      <c r="I24" s="13"/>
      <c r="J24" s="13"/>
      <c r="K24" s="142"/>
      <c r="L24" s="13"/>
      <c r="O24" s="13"/>
      <c r="P24" s="13"/>
      <c r="S24" s="143"/>
    </row>
    <row r="25" spans="1:19" ht="13" x14ac:dyDescent="0.3">
      <c r="A25" s="123" t="s">
        <v>22</v>
      </c>
      <c r="C25" s="13"/>
      <c r="E25" s="13"/>
      <c r="F25" s="10"/>
      <c r="G25" s="123" t="s">
        <v>23</v>
      </c>
      <c r="K25" s="8"/>
    </row>
    <row r="26" spans="1:19" x14ac:dyDescent="0.25">
      <c r="A26" s="119" t="s">
        <v>24</v>
      </c>
      <c r="C26" s="13"/>
      <c r="D26" s="13">
        <v>2393427087.71</v>
      </c>
      <c r="E26" s="13"/>
      <c r="F26" s="13"/>
      <c r="G26" s="119" t="s">
        <v>25</v>
      </c>
      <c r="J26" s="128">
        <v>12758111.310000001</v>
      </c>
      <c r="K26" s="14"/>
      <c r="L26" s="10"/>
    </row>
    <row r="27" spans="1:19" ht="13" x14ac:dyDescent="0.3">
      <c r="A27" s="119" t="s">
        <v>26</v>
      </c>
      <c r="C27" s="13"/>
      <c r="D27" s="13">
        <v>1025955888.5700001</v>
      </c>
      <c r="E27" s="25"/>
      <c r="F27" s="13"/>
      <c r="G27" s="145" t="s">
        <v>27</v>
      </c>
      <c r="J27" s="146">
        <v>15695572.140000001</v>
      </c>
      <c r="L27" s="10"/>
    </row>
    <row r="28" spans="1:19" ht="13" x14ac:dyDescent="0.3">
      <c r="B28" s="145" t="s">
        <v>28</v>
      </c>
      <c r="C28" s="13"/>
      <c r="D28" s="146">
        <v>1025955888.5700001</v>
      </c>
      <c r="E28" s="13"/>
      <c r="F28" s="13"/>
      <c r="G28" s="145" t="s">
        <v>29</v>
      </c>
      <c r="J28" s="146">
        <v>-3026783.17</v>
      </c>
      <c r="L28" s="10"/>
    </row>
    <row r="29" spans="1:19" ht="13" x14ac:dyDescent="0.3">
      <c r="B29" s="145" t="s">
        <v>30</v>
      </c>
      <c r="C29" s="13"/>
      <c r="D29" s="146">
        <v>0</v>
      </c>
      <c r="E29" s="13"/>
      <c r="F29" s="13"/>
      <c r="G29" s="145" t="s">
        <v>31</v>
      </c>
      <c r="J29" s="146">
        <v>0</v>
      </c>
      <c r="K29" s="15"/>
      <c r="L29" s="10"/>
    </row>
    <row r="30" spans="1:19" ht="13" x14ac:dyDescent="0.3">
      <c r="B30" s="145" t="s">
        <v>32</v>
      </c>
      <c r="C30" s="13"/>
      <c r="D30" s="146">
        <v>0</v>
      </c>
      <c r="E30" s="13"/>
      <c r="F30" s="13"/>
      <c r="G30" s="119" t="s">
        <v>33</v>
      </c>
      <c r="J30" s="13">
        <v>0</v>
      </c>
      <c r="K30" s="15"/>
      <c r="L30" s="10"/>
    </row>
    <row r="31" spans="1:19" x14ac:dyDescent="0.25">
      <c r="A31" s="15" t="s">
        <v>34</v>
      </c>
      <c r="D31" s="13">
        <v>1195756603.74</v>
      </c>
      <c r="E31" s="13"/>
      <c r="F31" s="13"/>
      <c r="G31" s="119" t="s">
        <v>35</v>
      </c>
      <c r="J31" s="128">
        <v>89322.34</v>
      </c>
      <c r="L31" s="10"/>
    </row>
    <row r="32" spans="1:19" x14ac:dyDescent="0.25">
      <c r="A32" s="119" t="s">
        <v>36</v>
      </c>
      <c r="D32" s="13">
        <v>0</v>
      </c>
      <c r="E32" s="147"/>
      <c r="F32" s="16"/>
      <c r="L32" s="10"/>
    </row>
    <row r="33" spans="1:12" ht="13" x14ac:dyDescent="0.3">
      <c r="A33" s="119" t="s">
        <v>37</v>
      </c>
      <c r="D33" s="13">
        <v>37044084.859999999</v>
      </c>
      <c r="E33" s="147"/>
      <c r="F33" s="16">
        <v>0</v>
      </c>
      <c r="G33" s="123" t="s">
        <v>38</v>
      </c>
      <c r="L33" s="10"/>
    </row>
    <row r="34" spans="1:12" x14ac:dyDescent="0.25">
      <c r="A34" s="119" t="s">
        <v>39</v>
      </c>
      <c r="D34" s="13">
        <v>0</v>
      </c>
      <c r="E34" s="17"/>
      <c r="G34" s="1" t="s">
        <v>25</v>
      </c>
      <c r="J34" s="128">
        <v>12758111.310000001</v>
      </c>
      <c r="L34" s="10"/>
    </row>
    <row r="35" spans="1:12" ht="13" x14ac:dyDescent="0.3">
      <c r="A35" s="123" t="s">
        <v>40</v>
      </c>
      <c r="B35" s="7"/>
      <c r="C35" s="7"/>
      <c r="D35" s="141">
        <v>2526183718.02</v>
      </c>
      <c r="E35" s="18"/>
      <c r="F35" s="148">
        <v>2526183718.02</v>
      </c>
      <c r="G35" s="119" t="s">
        <v>41</v>
      </c>
      <c r="J35" s="10">
        <v>1981600727.3800001</v>
      </c>
      <c r="L35" s="10"/>
    </row>
    <row r="36" spans="1:12" x14ac:dyDescent="0.25">
      <c r="A36" s="1" t="s">
        <v>42</v>
      </c>
      <c r="D36" s="13">
        <v>-475775372.38999999</v>
      </c>
      <c r="E36" s="15"/>
      <c r="F36" s="16"/>
      <c r="G36" s="119" t="s">
        <v>43</v>
      </c>
      <c r="I36" s="3"/>
      <c r="J36" s="149">
        <v>360</v>
      </c>
      <c r="L36" s="10"/>
    </row>
    <row r="37" spans="1:12" x14ac:dyDescent="0.25">
      <c r="A37" s="1" t="s">
        <v>44</v>
      </c>
      <c r="D37" s="13">
        <v>-1578</v>
      </c>
      <c r="E37" s="15"/>
      <c r="F37" s="17"/>
      <c r="G37" s="150" t="s">
        <v>45</v>
      </c>
      <c r="H37" s="150"/>
      <c r="I37" s="19"/>
      <c r="J37" s="150">
        <v>31</v>
      </c>
      <c r="L37" s="10"/>
    </row>
    <row r="38" spans="1:12" ht="13" x14ac:dyDescent="0.3">
      <c r="A38" s="7" t="s">
        <v>46</v>
      </c>
      <c r="D38" s="20">
        <v>2050406767.6300001</v>
      </c>
      <c r="E38" s="21"/>
      <c r="F38" s="17"/>
      <c r="G38" s="7" t="s">
        <v>47</v>
      </c>
      <c r="H38" s="7"/>
      <c r="I38" s="7"/>
      <c r="J38" s="151">
        <v>7.4767186921144702E-2</v>
      </c>
      <c r="L38" s="10"/>
    </row>
    <row r="39" spans="1:12" x14ac:dyDescent="0.25">
      <c r="B39" s="10"/>
      <c r="D39" s="21"/>
      <c r="E39" s="18"/>
      <c r="F39" s="10"/>
      <c r="G39" s="119" t="s">
        <v>48</v>
      </c>
      <c r="J39" s="152">
        <v>0.01</v>
      </c>
      <c r="L39" s="10"/>
    </row>
    <row r="40" spans="1:12" x14ac:dyDescent="0.25">
      <c r="A40" s="119" t="s">
        <v>49</v>
      </c>
      <c r="D40" s="10">
        <v>1981600727.3800001</v>
      </c>
      <c r="E40" s="22"/>
      <c r="F40" s="10"/>
      <c r="L40" s="10"/>
    </row>
    <row r="41" spans="1:12" x14ac:dyDescent="0.25">
      <c r="A41" s="119" t="s">
        <v>50</v>
      </c>
      <c r="D41" s="143">
        <v>0.51774097293882271</v>
      </c>
      <c r="E41" s="152"/>
      <c r="F41" s="10"/>
      <c r="L41" s="10"/>
    </row>
    <row r="42" spans="1:12" x14ac:dyDescent="0.25">
      <c r="A42" s="119" t="s">
        <v>51</v>
      </c>
      <c r="D42" s="143">
        <v>0.4968293037</v>
      </c>
      <c r="E42" s="15"/>
      <c r="F42" s="10"/>
      <c r="G42" s="119" t="s">
        <v>52</v>
      </c>
      <c r="H42" s="119"/>
      <c r="I42" s="23"/>
      <c r="J42" s="153">
        <v>6.4767186921144707E-2</v>
      </c>
      <c r="L42" s="24"/>
    </row>
    <row r="43" spans="1:12" x14ac:dyDescent="0.25">
      <c r="A43" s="119" t="s">
        <v>53</v>
      </c>
      <c r="D43" s="143">
        <v>0.49666372120000002</v>
      </c>
      <c r="E43" s="15"/>
      <c r="F43" s="10"/>
      <c r="G43" s="119" t="s">
        <v>54</v>
      </c>
      <c r="J43" s="19">
        <v>5.5196549999999997E-2</v>
      </c>
      <c r="K43" s="25"/>
      <c r="L43" s="152"/>
    </row>
    <row r="44" spans="1:12" ht="13" x14ac:dyDescent="0.3">
      <c r="A44" s="119" t="s">
        <v>55</v>
      </c>
      <c r="D44" s="143">
        <v>0.43978822810000001</v>
      </c>
      <c r="E44" s="13"/>
      <c r="F44" s="10"/>
      <c r="G44" s="123" t="s">
        <v>56</v>
      </c>
      <c r="H44" s="7"/>
      <c r="I44" s="7"/>
      <c r="J44" s="154">
        <v>9.5706369211447095E-3</v>
      </c>
      <c r="L44" s="10"/>
    </row>
    <row r="45" spans="1:12" x14ac:dyDescent="0.25">
      <c r="A45" s="119" t="s">
        <v>57</v>
      </c>
      <c r="D45" s="143">
        <v>0.48870888890000003</v>
      </c>
      <c r="E45" s="152"/>
      <c r="F45" s="10"/>
      <c r="L45" s="10"/>
    </row>
    <row r="46" spans="1:12" x14ac:dyDescent="0.25">
      <c r="A46" s="119" t="s">
        <v>58</v>
      </c>
      <c r="D46" s="143">
        <v>0.56496297790000005</v>
      </c>
      <c r="E46" s="18"/>
      <c r="F46" s="10"/>
    </row>
    <row r="47" spans="1:12" x14ac:dyDescent="0.25">
      <c r="A47" s="119" t="s">
        <v>59</v>
      </c>
      <c r="D47" s="143">
        <v>0.50374466594627421</v>
      </c>
      <c r="E47" s="152"/>
      <c r="F47" s="10"/>
    </row>
    <row r="48" spans="1:12" x14ac:dyDescent="0.25">
      <c r="A48" s="1" t="s">
        <v>60</v>
      </c>
      <c r="D48" s="143">
        <v>0.50078234878980388</v>
      </c>
      <c r="F48" s="10"/>
    </row>
    <row r="49" spans="1:6" x14ac:dyDescent="0.25">
      <c r="F49" s="10"/>
    </row>
    <row r="50" spans="1:6" x14ac:dyDescent="0.25">
      <c r="A50" s="119" t="s">
        <v>61</v>
      </c>
      <c r="D50" s="128">
        <v>307358314.16000003</v>
      </c>
      <c r="E50" s="6"/>
      <c r="F50" s="10"/>
    </row>
    <row r="51" spans="1:6" x14ac:dyDescent="0.25">
      <c r="A51" s="119" t="s">
        <v>62</v>
      </c>
      <c r="D51" s="155">
        <v>0.14990114108688088</v>
      </c>
      <c r="F51" s="10"/>
    </row>
    <row r="52" spans="1:6" x14ac:dyDescent="0.25">
      <c r="F52" s="10"/>
    </row>
    <row r="53" spans="1:6" x14ac:dyDescent="0.25">
      <c r="A53" s="119" t="s">
        <v>63</v>
      </c>
      <c r="D53" s="10">
        <v>1390654.8373999968</v>
      </c>
      <c r="E53" s="13"/>
      <c r="F53" s="10"/>
    </row>
    <row r="54" spans="1:6" x14ac:dyDescent="0.25">
      <c r="E54" s="13"/>
      <c r="F54" s="10"/>
    </row>
    <row r="55" spans="1:6" x14ac:dyDescent="0.25">
      <c r="A55" s="119" t="s">
        <v>64</v>
      </c>
      <c r="D55" s="128">
        <v>0</v>
      </c>
      <c r="E55" s="13"/>
      <c r="F55" s="10"/>
    </row>
    <row r="56" spans="1:6" x14ac:dyDescent="0.25">
      <c r="A56" s="119" t="s">
        <v>65</v>
      </c>
      <c r="D56" s="128">
        <v>0</v>
      </c>
      <c r="F56" s="10"/>
    </row>
    <row r="57" spans="1:6" x14ac:dyDescent="0.25">
      <c r="A57" s="119" t="s">
        <v>66</v>
      </c>
      <c r="D57" s="13">
        <v>0</v>
      </c>
      <c r="E57" s="1" t="s">
        <v>67</v>
      </c>
      <c r="F57" s="10"/>
    </row>
    <row r="58" spans="1:6" x14ac:dyDescent="0.25">
      <c r="A58" s="119" t="s">
        <v>68</v>
      </c>
      <c r="D58" s="152">
        <v>0</v>
      </c>
      <c r="E58" s="1" t="s">
        <v>67</v>
      </c>
      <c r="F58" s="10"/>
    </row>
    <row r="59" spans="1:6" x14ac:dyDescent="0.25">
      <c r="A59" s="26"/>
      <c r="F59" s="10"/>
    </row>
    <row r="60" spans="1:6" ht="13" x14ac:dyDescent="0.3">
      <c r="A60" s="123" t="s">
        <v>69</v>
      </c>
    </row>
    <row r="61" spans="1:6" x14ac:dyDescent="0.25">
      <c r="A61" s="119" t="s">
        <v>26</v>
      </c>
      <c r="D61" s="13">
        <v>1025955888.5700001</v>
      </c>
    </row>
    <row r="62" spans="1:6" x14ac:dyDescent="0.25">
      <c r="A62" s="119" t="s">
        <v>25</v>
      </c>
      <c r="D62" s="13">
        <v>12758111.310000001</v>
      </c>
    </row>
    <row r="63" spans="1:6" ht="13" x14ac:dyDescent="0.3">
      <c r="A63" s="123" t="s">
        <v>70</v>
      </c>
      <c r="C63" s="7"/>
      <c r="D63" s="141">
        <v>1038713999.88</v>
      </c>
    </row>
    <row r="67" spans="1:1" x14ac:dyDescent="0.25">
      <c r="A67" s="27" t="s">
        <v>71</v>
      </c>
    </row>
    <row r="68" spans="1:1" x14ac:dyDescent="0.25">
      <c r="A68" s="27" t="s">
        <v>72</v>
      </c>
    </row>
    <row r="69" spans="1:1" x14ac:dyDescent="0.25">
      <c r="A69" s="27" t="s">
        <v>73</v>
      </c>
    </row>
  </sheetData>
  <conditionalFormatting sqref="E35">
    <cfRule type="cellIs" dxfId="16" priority="1" operator="equal">
      <formula>"ok"</formula>
    </cfRule>
    <cfRule type="containsText" dxfId="15" priority="4" stopIfTrue="1" operator="containsText" text="Recon Error">
      <formula>NOT(ISERROR(SEARCH("Recon Error",E35)))</formula>
    </cfRule>
    <cfRule type="cellIs" dxfId="14" priority="5" stopIfTrue="1" operator="equal">
      <formula>"Recon Error: Activity &lt;&gt; Balance"</formula>
    </cfRule>
  </conditionalFormatting>
  <conditionalFormatting sqref="E38">
    <cfRule type="containsText" dxfId="13" priority="2" stopIfTrue="1" operator="containsText" text="Recon Error">
      <formula>NOT(ISERROR(SEARCH("Recon Error",E38)))</formula>
    </cfRule>
    <cfRule type="cellIs" dxfId="12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F7EFB-7360-4B09-B83C-77D1C981BAF8}">
  <sheetPr>
    <pageSetUpPr fitToPage="1"/>
  </sheetPr>
  <dimension ref="A1:P67"/>
  <sheetViews>
    <sheetView topLeftCell="A13" workbookViewId="0">
      <selection activeCell="C14" sqref="C14"/>
    </sheetView>
  </sheetViews>
  <sheetFormatPr defaultColWidth="9.1796875" defaultRowHeight="12.5" x14ac:dyDescent="0.25"/>
  <cols>
    <col min="1" max="1" width="3.81640625" style="170" customWidth="1"/>
    <col min="2" max="2" width="8.81640625" style="170" customWidth="1"/>
    <col min="3" max="3" width="12.7265625" style="170" customWidth="1"/>
    <col min="4" max="4" width="23.54296875" style="170" customWidth="1"/>
    <col min="5" max="5" width="20" style="170" bestFit="1" customWidth="1"/>
    <col min="6" max="6" width="18.453125" style="170" customWidth="1"/>
    <col min="7" max="7" width="14.7265625" style="170" customWidth="1"/>
    <col min="8" max="8" width="26.81640625" style="170" customWidth="1"/>
    <col min="9" max="9" width="19.81640625" style="170" customWidth="1"/>
    <col min="10" max="10" width="20" style="170" customWidth="1"/>
    <col min="11" max="11" width="11" style="170" customWidth="1"/>
    <col min="12" max="12" width="7.81640625" style="170" customWidth="1"/>
    <col min="13" max="14" width="8.81640625" style="170" customWidth="1"/>
    <col min="15" max="16384" width="9.1796875" style="170"/>
  </cols>
  <sheetData>
    <row r="1" spans="2:16" s="28" customFormat="1" ht="13" x14ac:dyDescent="0.3">
      <c r="B1" s="156" t="s">
        <v>176</v>
      </c>
      <c r="M1" s="29">
        <v>2</v>
      </c>
      <c r="N1" s="30" t="s">
        <v>74</v>
      </c>
      <c r="O1" s="31"/>
      <c r="P1" s="31"/>
    </row>
    <row r="2" spans="2:16" s="28" customFormat="1" ht="12.4" customHeight="1" x14ac:dyDescent="0.25">
      <c r="M2" s="157">
        <v>2</v>
      </c>
      <c r="N2" s="30" t="s">
        <v>75</v>
      </c>
      <c r="O2" s="31"/>
      <c r="P2" s="31"/>
    </row>
    <row r="3" spans="2:16" s="28" customFormat="1" ht="12.4" customHeight="1" x14ac:dyDescent="0.3">
      <c r="B3" s="76" t="s">
        <v>76</v>
      </c>
      <c r="C3" s="158" t="s">
        <v>2</v>
      </c>
      <c r="D3" s="158" t="s">
        <v>3</v>
      </c>
      <c r="E3" s="159" t="s">
        <v>4</v>
      </c>
      <c r="H3" s="160" t="s">
        <v>77</v>
      </c>
      <c r="I3" s="32">
        <v>0.5</v>
      </c>
      <c r="J3" s="161"/>
    </row>
    <row r="4" spans="2:16" s="28" customFormat="1" ht="13" x14ac:dyDescent="0.3">
      <c r="B4" s="162" t="s">
        <v>5</v>
      </c>
      <c r="C4" s="163">
        <v>45352</v>
      </c>
      <c r="D4" s="163">
        <v>45366</v>
      </c>
      <c r="E4" s="164">
        <v>45397</v>
      </c>
      <c r="H4" s="160" t="s">
        <v>78</v>
      </c>
      <c r="I4" s="32">
        <v>0.504592174</v>
      </c>
    </row>
    <row r="5" spans="2:16" s="28" customFormat="1" ht="12.4" customHeight="1" x14ac:dyDescent="0.25">
      <c r="B5" s="165" t="s">
        <v>6</v>
      </c>
      <c r="C5" s="166">
        <v>45382</v>
      </c>
      <c r="D5" s="166">
        <v>45397</v>
      </c>
      <c r="E5" s="167"/>
      <c r="K5" s="168"/>
    </row>
    <row r="6" spans="2:16" s="28" customFormat="1" ht="12.4" customHeight="1" x14ac:dyDescent="0.25">
      <c r="B6" s="169" t="s">
        <v>7</v>
      </c>
      <c r="C6" s="33">
        <v>25</v>
      </c>
      <c r="D6" s="34"/>
      <c r="E6" s="88"/>
      <c r="K6" s="168"/>
    </row>
    <row r="7" spans="2:16" s="28" customFormat="1" x14ac:dyDescent="0.25"/>
    <row r="8" spans="2:16" ht="13" x14ac:dyDescent="0.3">
      <c r="B8" s="35" t="s">
        <v>79</v>
      </c>
      <c r="H8" s="36" t="s">
        <v>80</v>
      </c>
      <c r="I8" s="36" t="s">
        <v>81</v>
      </c>
    </row>
    <row r="9" spans="2:16" ht="13" x14ac:dyDescent="0.3">
      <c r="B9" s="170" t="s">
        <v>177</v>
      </c>
      <c r="H9" s="108" t="s">
        <v>82</v>
      </c>
      <c r="I9" s="108" t="s">
        <v>76</v>
      </c>
    </row>
    <row r="10" spans="2:16" ht="13" x14ac:dyDescent="0.3">
      <c r="F10" s="37"/>
      <c r="H10" s="171">
        <v>46433</v>
      </c>
      <c r="I10" s="172" t="s">
        <v>83</v>
      </c>
    </row>
    <row r="11" spans="2:16" x14ac:dyDescent="0.25">
      <c r="C11" s="170" t="s">
        <v>84</v>
      </c>
      <c r="E11" s="38">
        <v>500000000</v>
      </c>
      <c r="H11" s="172"/>
    </row>
    <row r="12" spans="2:16" x14ac:dyDescent="0.25">
      <c r="D12" s="173"/>
      <c r="E12" s="174">
        <v>500000000</v>
      </c>
      <c r="F12" s="171"/>
      <c r="J12" s="170" t="s">
        <v>85</v>
      </c>
    </row>
    <row r="13" spans="2:16" x14ac:dyDescent="0.25">
      <c r="D13" s="173"/>
      <c r="E13" s="174"/>
      <c r="G13" s="39"/>
      <c r="H13" s="39"/>
      <c r="I13" s="39"/>
      <c r="J13" s="39"/>
    </row>
    <row r="14" spans="2:16" ht="13" x14ac:dyDescent="0.3">
      <c r="B14" s="170" t="s">
        <v>86</v>
      </c>
      <c r="E14" s="40">
        <v>500000000</v>
      </c>
      <c r="H14" s="237" t="s">
        <v>93</v>
      </c>
      <c r="I14" s="237"/>
      <c r="J14" s="237"/>
    </row>
    <row r="15" spans="2:16" x14ac:dyDescent="0.25">
      <c r="B15" s="170" t="s">
        <v>87</v>
      </c>
      <c r="D15" s="175"/>
      <c r="E15" s="38">
        <v>113496000.00000004</v>
      </c>
      <c r="F15" s="176"/>
      <c r="H15" s="173" t="s">
        <v>7</v>
      </c>
      <c r="I15" s="177">
        <v>25</v>
      </c>
    </row>
    <row r="16" spans="2:16" x14ac:dyDescent="0.25">
      <c r="B16" s="170" t="s">
        <v>88</v>
      </c>
      <c r="D16" s="175"/>
      <c r="E16" s="38">
        <v>0</v>
      </c>
      <c r="F16" s="176"/>
      <c r="H16" s="173" t="s">
        <v>178</v>
      </c>
      <c r="I16" s="42">
        <v>5.0500000000000003E-2</v>
      </c>
    </row>
    <row r="17" spans="2:10" x14ac:dyDescent="0.25">
      <c r="B17" s="170" t="s">
        <v>89</v>
      </c>
      <c r="D17" s="175"/>
      <c r="E17" s="38">
        <v>0</v>
      </c>
      <c r="F17" s="176"/>
      <c r="H17" s="173" t="s">
        <v>96</v>
      </c>
      <c r="I17" s="42">
        <v>0</v>
      </c>
    </row>
    <row r="18" spans="2:10" x14ac:dyDescent="0.25">
      <c r="B18" s="170" t="s">
        <v>63</v>
      </c>
      <c r="D18" s="175"/>
      <c r="E18" s="38">
        <v>339116.81802713964</v>
      </c>
      <c r="H18" s="173"/>
      <c r="I18" s="42">
        <v>5.0500000000000003E-2</v>
      </c>
    </row>
    <row r="19" spans="2:10" ht="13" x14ac:dyDescent="0.3">
      <c r="B19" s="37" t="s">
        <v>92</v>
      </c>
      <c r="C19" s="37"/>
      <c r="D19" s="41"/>
      <c r="E19" s="178">
        <v>613835116.81802714</v>
      </c>
      <c r="H19" s="173"/>
    </row>
    <row r="20" spans="2:10" ht="13" x14ac:dyDescent="0.3">
      <c r="B20" s="37"/>
      <c r="C20" s="37"/>
      <c r="D20" s="41"/>
      <c r="E20" s="178"/>
      <c r="F20" s="179"/>
      <c r="H20" s="173"/>
    </row>
    <row r="21" spans="2:10" ht="26" x14ac:dyDescent="0.3">
      <c r="B21" s="37"/>
      <c r="C21" s="37"/>
      <c r="D21" s="41"/>
      <c r="E21" s="180" t="s">
        <v>179</v>
      </c>
      <c r="F21" s="181" t="s">
        <v>94</v>
      </c>
      <c r="H21" s="173"/>
      <c r="I21" s="179"/>
    </row>
    <row r="22" spans="2:10" ht="14.5" x14ac:dyDescent="0.25">
      <c r="B22" s="170" t="s">
        <v>95</v>
      </c>
      <c r="D22" s="43"/>
      <c r="E22" s="38">
        <v>613835116.81802714</v>
      </c>
      <c r="F22" s="38">
        <v>1227670233.6360543</v>
      </c>
    </row>
    <row r="23" spans="2:10" ht="14.5" x14ac:dyDescent="0.25">
      <c r="B23" s="170" t="s">
        <v>97</v>
      </c>
      <c r="E23" s="38">
        <v>411368266.99697292</v>
      </c>
      <c r="F23" s="38">
        <v>822736533.99394584</v>
      </c>
      <c r="H23" s="173"/>
      <c r="I23" s="182" t="s">
        <v>101</v>
      </c>
      <c r="J23" s="182" t="s">
        <v>102</v>
      </c>
    </row>
    <row r="24" spans="2:10" ht="14.5" x14ac:dyDescent="0.25">
      <c r="B24" s="170" t="s">
        <v>98</v>
      </c>
      <c r="E24" s="38">
        <v>0</v>
      </c>
      <c r="F24" s="174">
        <v>0</v>
      </c>
      <c r="H24" s="173" t="s">
        <v>103</v>
      </c>
      <c r="I24" s="40">
        <v>1753472.22</v>
      </c>
      <c r="J24" s="45">
        <v>3.5069444399999998</v>
      </c>
    </row>
    <row r="25" spans="2:10" ht="15" x14ac:dyDescent="0.3">
      <c r="B25" s="37" t="s">
        <v>99</v>
      </c>
      <c r="C25" s="37"/>
      <c r="D25" s="37"/>
      <c r="E25" s="183">
        <v>1025203383.8150001</v>
      </c>
      <c r="F25" s="44">
        <v>2050406767.6300001</v>
      </c>
      <c r="H25" s="173" t="s">
        <v>105</v>
      </c>
      <c r="I25" s="174">
        <v>0</v>
      </c>
      <c r="J25" s="45">
        <v>0</v>
      </c>
    </row>
    <row r="26" spans="2:10" x14ac:dyDescent="0.25">
      <c r="E26" s="179"/>
      <c r="H26" s="173"/>
      <c r="I26" s="46"/>
      <c r="J26" s="47"/>
    </row>
    <row r="27" spans="2:10" x14ac:dyDescent="0.25">
      <c r="B27" s="170" t="s">
        <v>100</v>
      </c>
      <c r="E27" s="179">
        <v>2.0504067676300002</v>
      </c>
      <c r="H27" s="173"/>
      <c r="I27" s="184"/>
      <c r="J27" s="49">
        <v>3.5069444399999998</v>
      </c>
    </row>
    <row r="29" spans="2:10" ht="13" x14ac:dyDescent="0.3">
      <c r="F29" s="185"/>
      <c r="G29" s="36"/>
      <c r="H29" s="173"/>
      <c r="I29" s="172"/>
      <c r="J29" s="172"/>
    </row>
    <row r="30" spans="2:10" ht="13" x14ac:dyDescent="0.3">
      <c r="B30" s="37" t="s">
        <v>104</v>
      </c>
      <c r="F30" s="186"/>
      <c r="G30" s="36"/>
      <c r="H30" s="173"/>
      <c r="I30" s="52"/>
      <c r="J30" s="53"/>
    </row>
    <row r="31" spans="2:10" ht="13" x14ac:dyDescent="0.3">
      <c r="B31" s="170" t="s">
        <v>106</v>
      </c>
      <c r="F31" s="186"/>
      <c r="G31" s="36"/>
      <c r="H31" s="173"/>
      <c r="I31" s="174"/>
      <c r="J31" s="53"/>
    </row>
    <row r="32" spans="2:10" ht="13" x14ac:dyDescent="0.3">
      <c r="F32" s="187"/>
      <c r="G32" s="48"/>
      <c r="H32" s="173"/>
      <c r="I32" s="54"/>
      <c r="J32" s="53"/>
    </row>
    <row r="33" spans="1:12" ht="13" x14ac:dyDescent="0.3">
      <c r="E33" s="50" t="s">
        <v>107</v>
      </c>
      <c r="F33" s="188"/>
      <c r="H33" s="173"/>
      <c r="I33" s="184"/>
      <c r="J33" s="55"/>
    </row>
    <row r="34" spans="1:12" ht="13" x14ac:dyDescent="0.3">
      <c r="E34" s="51" t="s">
        <v>108</v>
      </c>
      <c r="F34" s="188"/>
      <c r="H34" s="189" t="s">
        <v>110</v>
      </c>
      <c r="I34" s="56">
        <v>1753472.22</v>
      </c>
    </row>
    <row r="35" spans="1:12" x14ac:dyDescent="0.25">
      <c r="B35" s="170" t="s">
        <v>109</v>
      </c>
      <c r="E35" s="190">
        <v>2393427087.71</v>
      </c>
      <c r="F35" s="188"/>
      <c r="H35" s="57" t="s">
        <v>48</v>
      </c>
      <c r="I35" s="58">
        <v>1054713.75</v>
      </c>
    </row>
    <row r="36" spans="1:12" x14ac:dyDescent="0.25">
      <c r="B36" s="170" t="s">
        <v>26</v>
      </c>
      <c r="E36" s="176">
        <v>-1025955888.5700001</v>
      </c>
      <c r="F36" s="188"/>
      <c r="H36" s="173" t="s">
        <v>112</v>
      </c>
      <c r="I36" s="59">
        <v>410635.59000000032</v>
      </c>
    </row>
    <row r="37" spans="1:12" x14ac:dyDescent="0.25">
      <c r="B37" s="170" t="s">
        <v>34</v>
      </c>
      <c r="E37" s="176">
        <v>1195756603.74</v>
      </c>
      <c r="F37" s="188"/>
    </row>
    <row r="38" spans="1:12" x14ac:dyDescent="0.25">
      <c r="B38" s="191" t="s">
        <v>36</v>
      </c>
      <c r="E38" s="176">
        <v>0</v>
      </c>
      <c r="F38" s="188"/>
    </row>
    <row r="39" spans="1:12" s="37" customFormat="1" ht="13" x14ac:dyDescent="0.3">
      <c r="A39" s="170"/>
      <c r="B39" s="191" t="s">
        <v>37</v>
      </c>
      <c r="C39" s="170"/>
      <c r="D39" s="170"/>
      <c r="E39" s="176">
        <v>-37044084.859999999</v>
      </c>
      <c r="F39" s="188"/>
      <c r="G39" s="170"/>
      <c r="H39" s="170"/>
      <c r="I39" s="170"/>
      <c r="J39" s="170"/>
      <c r="K39" s="192"/>
      <c r="L39" s="170"/>
    </row>
    <row r="40" spans="1:12" ht="13" x14ac:dyDescent="0.3">
      <c r="A40" s="37"/>
      <c r="B40" s="191" t="s">
        <v>39</v>
      </c>
      <c r="E40" s="176">
        <v>0</v>
      </c>
      <c r="F40" s="188"/>
      <c r="H40" s="108" t="s">
        <v>115</v>
      </c>
      <c r="I40" s="108"/>
      <c r="J40" s="108"/>
      <c r="K40" s="193"/>
    </row>
    <row r="41" spans="1:12" ht="13" x14ac:dyDescent="0.3">
      <c r="B41" s="170" t="s">
        <v>111</v>
      </c>
      <c r="E41" s="176">
        <v>0</v>
      </c>
      <c r="F41" s="188"/>
      <c r="G41" s="37"/>
      <c r="K41" s="193"/>
    </row>
    <row r="42" spans="1:12" ht="13" x14ac:dyDescent="0.3">
      <c r="B42" s="170" t="s">
        <v>113</v>
      </c>
      <c r="E42" s="176">
        <v>0</v>
      </c>
      <c r="F42" s="190"/>
      <c r="H42" s="173" t="s">
        <v>117</v>
      </c>
      <c r="I42" s="194">
        <v>2500000</v>
      </c>
      <c r="K42" s="37"/>
      <c r="L42" s="37"/>
    </row>
    <row r="43" spans="1:12" ht="13" x14ac:dyDescent="0.3">
      <c r="B43" s="28" t="s">
        <v>42</v>
      </c>
      <c r="C43" s="37"/>
      <c r="D43" s="37"/>
      <c r="E43" s="176">
        <v>-475775372.38999999</v>
      </c>
      <c r="F43" s="60" t="s">
        <v>90</v>
      </c>
      <c r="H43" s="173" t="s">
        <v>118</v>
      </c>
      <c r="I43" s="174">
        <v>0</v>
      </c>
    </row>
    <row r="44" spans="1:12" x14ac:dyDescent="0.25">
      <c r="B44" s="28" t="s">
        <v>114</v>
      </c>
      <c r="E44" s="176">
        <v>-1578</v>
      </c>
      <c r="F44" s="61"/>
      <c r="G44" s="61"/>
      <c r="H44" s="173" t="s">
        <v>120</v>
      </c>
      <c r="I44" s="174">
        <v>0</v>
      </c>
    </row>
    <row r="45" spans="1:12" ht="13" x14ac:dyDescent="0.3">
      <c r="B45" s="37" t="s">
        <v>91</v>
      </c>
      <c r="C45" s="37"/>
      <c r="D45" s="37"/>
      <c r="E45" s="62">
        <v>2050406767.6300001</v>
      </c>
      <c r="F45" s="195"/>
      <c r="G45" s="61"/>
      <c r="H45" s="173" t="s">
        <v>121</v>
      </c>
      <c r="I45" s="196">
        <v>2500000</v>
      </c>
    </row>
    <row r="46" spans="1:12" x14ac:dyDescent="0.25">
      <c r="E46" s="61"/>
      <c r="G46" s="197"/>
      <c r="H46" s="173" t="s">
        <v>122</v>
      </c>
      <c r="I46" s="194">
        <v>0</v>
      </c>
    </row>
    <row r="47" spans="1:12" x14ac:dyDescent="0.25">
      <c r="B47" s="197" t="s">
        <v>116</v>
      </c>
      <c r="E47" s="43">
        <v>0.5</v>
      </c>
      <c r="G47" s="176"/>
      <c r="H47" s="197"/>
      <c r="I47" s="197"/>
      <c r="K47" s="198"/>
      <c r="L47" s="198"/>
    </row>
    <row r="48" spans="1:12" x14ac:dyDescent="0.25">
      <c r="E48" s="197"/>
      <c r="H48" s="197"/>
      <c r="I48" s="197"/>
      <c r="K48" s="198"/>
      <c r="L48" s="198"/>
    </row>
    <row r="49" spans="2:14" ht="13" x14ac:dyDescent="0.25">
      <c r="B49" s="170" t="s">
        <v>119</v>
      </c>
      <c r="E49" s="63">
        <v>1981600727.3800001</v>
      </c>
      <c r="H49" s="73" t="s">
        <v>132</v>
      </c>
      <c r="I49" s="199"/>
      <c r="J49" s="199"/>
      <c r="L49" s="198"/>
      <c r="M49" s="200"/>
    </row>
    <row r="50" spans="2:14" ht="13" x14ac:dyDescent="0.3">
      <c r="B50" s="168" t="s">
        <v>50</v>
      </c>
      <c r="E50" s="179">
        <v>0.51774097293882271</v>
      </c>
      <c r="I50" s="74" t="s">
        <v>133</v>
      </c>
      <c r="J50" s="74" t="s">
        <v>134</v>
      </c>
      <c r="M50" s="64"/>
    </row>
    <row r="51" spans="2:14" ht="13" x14ac:dyDescent="0.3">
      <c r="B51" s="65"/>
      <c r="E51" s="179"/>
      <c r="F51" s="36"/>
      <c r="H51" s="201" t="s">
        <v>135</v>
      </c>
      <c r="I51" s="75">
        <v>0.05</v>
      </c>
      <c r="J51" s="176">
        <v>50000000</v>
      </c>
    </row>
    <row r="52" spans="2:14" ht="13" x14ac:dyDescent="0.3">
      <c r="B52" s="37" t="s">
        <v>123</v>
      </c>
      <c r="H52" s="201" t="s">
        <v>136</v>
      </c>
      <c r="I52" s="75">
        <v>1.0504067676300002</v>
      </c>
      <c r="J52" s="176">
        <v>1050406767.6300001</v>
      </c>
    </row>
    <row r="53" spans="2:14" ht="25.5" x14ac:dyDescent="0.3">
      <c r="B53" s="202" t="s">
        <v>124</v>
      </c>
      <c r="F53" s="36"/>
      <c r="H53" s="205" t="s">
        <v>137</v>
      </c>
      <c r="I53" s="75"/>
      <c r="J53" s="203">
        <v>1050406767.6300001</v>
      </c>
      <c r="N53" s="204"/>
    </row>
    <row r="54" spans="2:14" ht="13" x14ac:dyDescent="0.3">
      <c r="E54" s="50" t="s">
        <v>107</v>
      </c>
      <c r="F54" s="186"/>
      <c r="H54" s="238" t="s">
        <v>138</v>
      </c>
      <c r="I54" s="238"/>
      <c r="J54" s="206" t="s">
        <v>139</v>
      </c>
    </row>
    <row r="55" spans="2:14" ht="13" x14ac:dyDescent="0.3">
      <c r="E55" s="51" t="s">
        <v>108</v>
      </c>
      <c r="F55" s="190"/>
      <c r="H55" s="239" t="s">
        <v>140</v>
      </c>
      <c r="I55" s="239"/>
      <c r="J55" s="239"/>
      <c r="M55" s="207"/>
    </row>
    <row r="56" spans="2:14" x14ac:dyDescent="0.25">
      <c r="B56" s="170" t="s">
        <v>25</v>
      </c>
      <c r="E56" s="190">
        <v>12758111.310000001</v>
      </c>
      <c r="F56" s="208"/>
      <c r="H56" s="239"/>
      <c r="I56" s="239"/>
      <c r="J56" s="239"/>
      <c r="M56" s="207"/>
    </row>
    <row r="57" spans="2:14" x14ac:dyDescent="0.25">
      <c r="B57" s="170" t="s">
        <v>127</v>
      </c>
      <c r="E57" s="208">
        <v>0</v>
      </c>
      <c r="F57" s="197"/>
      <c r="H57" s="209"/>
      <c r="I57" s="209"/>
      <c r="J57" s="209"/>
    </row>
    <row r="58" spans="2:14" x14ac:dyDescent="0.25">
      <c r="B58" s="170" t="s">
        <v>33</v>
      </c>
      <c r="E58" s="197">
        <v>0</v>
      </c>
      <c r="F58" s="66"/>
    </row>
    <row r="59" spans="2:14" x14ac:dyDescent="0.25">
      <c r="B59" s="170" t="s">
        <v>129</v>
      </c>
      <c r="E59" s="70">
        <v>12758111.310000001</v>
      </c>
    </row>
    <row r="63" spans="2:14" ht="12.75" customHeight="1" x14ac:dyDescent="0.25"/>
    <row r="64" spans="2:14" ht="12.75" customHeight="1" x14ac:dyDescent="0.25"/>
    <row r="65" spans="2:5" ht="12.75" customHeight="1" x14ac:dyDescent="0.25"/>
    <row r="66" spans="2:5" ht="12.75" customHeight="1" x14ac:dyDescent="0.25"/>
    <row r="67" spans="2:5" ht="12.75" customHeight="1" x14ac:dyDescent="0.25">
      <c r="B67" s="27" t="s">
        <v>173</v>
      </c>
      <c r="E67" s="210"/>
    </row>
  </sheetData>
  <mergeCells count="3">
    <mergeCell ref="H14:J14"/>
    <mergeCell ref="H54:I54"/>
    <mergeCell ref="H55:J56"/>
  </mergeCells>
  <pageMargins left="0.5" right="0.5" top="0.5" bottom="0.5" header="0.5" footer="0.5"/>
  <pageSetup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8AC33-E007-48B3-B379-F77EEFAD99D4}">
  <sheetPr>
    <pageSetUpPr fitToPage="1"/>
  </sheetPr>
  <dimension ref="A1:O69"/>
  <sheetViews>
    <sheetView workbookViewId="0">
      <selection activeCell="C51" sqref="C51"/>
    </sheetView>
  </sheetViews>
  <sheetFormatPr defaultColWidth="19.81640625" defaultRowHeight="12.5" x14ac:dyDescent="0.25"/>
  <cols>
    <col min="1" max="1" width="19.81640625" style="28"/>
    <col min="2" max="2" width="31.54296875" style="28" customWidth="1"/>
    <col min="3" max="16384" width="19.81640625" style="28"/>
  </cols>
  <sheetData>
    <row r="1" spans="1:15" ht="13" x14ac:dyDescent="0.3">
      <c r="A1" s="156" t="s">
        <v>0</v>
      </c>
    </row>
    <row r="2" spans="1:15" ht="12.4" customHeight="1" x14ac:dyDescent="0.25"/>
    <row r="3" spans="1:15" ht="12.4" customHeight="1" x14ac:dyDescent="0.3">
      <c r="A3" s="76" t="s">
        <v>76</v>
      </c>
      <c r="B3" s="158" t="s">
        <v>2</v>
      </c>
      <c r="C3" s="158" t="s">
        <v>3</v>
      </c>
      <c r="D3" s="159" t="s">
        <v>4</v>
      </c>
      <c r="I3" s="160"/>
      <c r="J3" s="160"/>
      <c r="K3" s="160"/>
    </row>
    <row r="4" spans="1:15" ht="12.4" customHeight="1" x14ac:dyDescent="0.25">
      <c r="A4" s="211" t="s">
        <v>5</v>
      </c>
      <c r="B4" s="212">
        <v>45352</v>
      </c>
      <c r="C4" s="212">
        <v>45366</v>
      </c>
      <c r="D4" s="213">
        <v>45397</v>
      </c>
      <c r="I4" s="214"/>
      <c r="J4" s="214"/>
      <c r="K4" s="214"/>
    </row>
    <row r="5" spans="1:15" ht="12.4" customHeight="1" x14ac:dyDescent="0.25">
      <c r="A5" s="215" t="s">
        <v>6</v>
      </c>
      <c r="B5" s="214">
        <v>45382</v>
      </c>
      <c r="C5" s="214">
        <v>45397</v>
      </c>
      <c r="D5" s="167"/>
      <c r="I5" s="214"/>
      <c r="J5" s="214"/>
      <c r="K5" s="214"/>
    </row>
    <row r="6" spans="1:15" ht="12.4" customHeight="1" x14ac:dyDescent="0.25">
      <c r="A6" s="169" t="s">
        <v>7</v>
      </c>
      <c r="B6" s="34"/>
      <c r="C6" s="34"/>
      <c r="D6" s="88"/>
    </row>
    <row r="8" spans="1:15" ht="13" x14ac:dyDescent="0.3">
      <c r="A8" s="76" t="s">
        <v>141</v>
      </c>
      <c r="B8" s="77"/>
      <c r="C8" s="77"/>
      <c r="D8" s="77"/>
      <c r="E8" s="77"/>
      <c r="F8" s="77"/>
      <c r="G8" s="78"/>
    </row>
    <row r="9" spans="1:15" ht="13" x14ac:dyDescent="0.3">
      <c r="A9" s="76"/>
      <c r="B9" s="77"/>
      <c r="C9" s="77"/>
      <c r="D9" s="77"/>
      <c r="E9" s="77"/>
      <c r="F9" s="77"/>
      <c r="G9" s="78"/>
    </row>
    <row r="10" spans="1:15" ht="13" x14ac:dyDescent="0.3">
      <c r="A10" s="79"/>
      <c r="B10" s="80" t="s">
        <v>142</v>
      </c>
      <c r="C10" s="81" t="s">
        <v>143</v>
      </c>
      <c r="D10" s="81" t="s">
        <v>126</v>
      </c>
      <c r="E10" s="81" t="s">
        <v>144</v>
      </c>
      <c r="F10" s="216"/>
      <c r="G10" s="82"/>
      <c r="H10" s="216"/>
    </row>
    <row r="11" spans="1:15" ht="13" x14ac:dyDescent="0.3">
      <c r="A11" s="79"/>
      <c r="B11" s="217" t="s">
        <v>145</v>
      </c>
      <c r="C11" s="218">
        <v>173107017.59999999</v>
      </c>
      <c r="D11" s="219">
        <v>0.1</v>
      </c>
      <c r="E11" s="220">
        <v>0</v>
      </c>
      <c r="F11" s="220"/>
      <c r="G11" s="82"/>
      <c r="H11" s="220"/>
    </row>
    <row r="12" spans="1:15" ht="13" x14ac:dyDescent="0.3">
      <c r="A12" s="79"/>
      <c r="B12" s="217" t="s">
        <v>146</v>
      </c>
      <c r="C12" s="218">
        <v>65321564.270000003</v>
      </c>
      <c r="D12" s="221">
        <v>0.04</v>
      </c>
      <c r="E12" s="220">
        <v>0</v>
      </c>
      <c r="F12" s="220"/>
      <c r="G12" s="82"/>
      <c r="H12" s="220"/>
      <c r="M12" s="83"/>
      <c r="N12" s="84"/>
      <c r="O12" s="222"/>
    </row>
    <row r="13" spans="1:15" ht="13" x14ac:dyDescent="0.3">
      <c r="A13" s="79"/>
      <c r="B13" s="217" t="s">
        <v>147</v>
      </c>
      <c r="C13" s="218">
        <v>59778232.280000001</v>
      </c>
      <c r="D13" s="221">
        <v>3.5000000000000003E-2</v>
      </c>
      <c r="E13" s="220">
        <v>0</v>
      </c>
      <c r="F13" s="220"/>
      <c r="G13" s="82"/>
      <c r="H13" s="220"/>
    </row>
    <row r="14" spans="1:15" ht="13" x14ac:dyDescent="0.3">
      <c r="A14" s="79"/>
      <c r="B14" s="217" t="s">
        <v>148</v>
      </c>
      <c r="C14" s="218">
        <v>46376038.039999999</v>
      </c>
      <c r="D14" s="221">
        <v>3.2500000000000001E-2</v>
      </c>
      <c r="E14" s="220">
        <v>0</v>
      </c>
      <c r="F14" s="220"/>
      <c r="G14" s="82"/>
      <c r="H14" s="220"/>
    </row>
    <row r="15" spans="1:15" ht="13" x14ac:dyDescent="0.3">
      <c r="A15" s="79"/>
      <c r="B15" s="217" t="s">
        <v>149</v>
      </c>
      <c r="C15" s="218">
        <v>46137769.469999999</v>
      </c>
      <c r="D15" s="221">
        <v>0.03</v>
      </c>
      <c r="E15" s="220">
        <v>0</v>
      </c>
      <c r="F15" s="220"/>
      <c r="G15" s="82"/>
      <c r="H15" s="220"/>
    </row>
    <row r="16" spans="1:15" ht="13" x14ac:dyDescent="0.3">
      <c r="A16" s="79"/>
      <c r="B16" s="217" t="s">
        <v>150</v>
      </c>
      <c r="C16" s="218">
        <v>45142449.159999996</v>
      </c>
      <c r="D16" s="221">
        <v>2.5000000000000001E-2</v>
      </c>
      <c r="E16" s="220">
        <v>0</v>
      </c>
      <c r="F16" s="220"/>
      <c r="G16" s="82"/>
      <c r="H16" s="220"/>
    </row>
    <row r="17" spans="1:13" ht="13" x14ac:dyDescent="0.3">
      <c r="A17" s="79"/>
      <c r="B17" s="217" t="s">
        <v>174</v>
      </c>
      <c r="C17" s="218">
        <v>42398790.189999998</v>
      </c>
      <c r="D17" s="221">
        <v>0.02</v>
      </c>
      <c r="E17" s="220">
        <v>1390654.8373999968</v>
      </c>
      <c r="F17" s="220"/>
      <c r="G17" s="82"/>
      <c r="H17" s="220"/>
    </row>
    <row r="18" spans="1:13" ht="13" x14ac:dyDescent="0.3">
      <c r="A18" s="79"/>
      <c r="B18" s="217" t="s">
        <v>175</v>
      </c>
      <c r="C18" s="87">
        <v>40527872.759999998</v>
      </c>
      <c r="D18" s="223">
        <v>0.02</v>
      </c>
      <c r="E18" s="224">
        <v>0</v>
      </c>
      <c r="F18" s="220"/>
      <c r="G18" s="82"/>
      <c r="H18" s="220"/>
    </row>
    <row r="19" spans="1:13" ht="13" x14ac:dyDescent="0.3">
      <c r="A19" s="79"/>
      <c r="B19" s="225"/>
      <c r="C19" s="220">
        <v>518789733.76999992</v>
      </c>
      <c r="D19" s="226"/>
      <c r="F19" s="220"/>
      <c r="G19" s="227"/>
      <c r="H19" s="220"/>
    </row>
    <row r="20" spans="1:13" x14ac:dyDescent="0.25">
      <c r="A20" s="79"/>
      <c r="B20" s="217"/>
      <c r="C20" s="217"/>
      <c r="D20" s="217"/>
      <c r="F20" s="217"/>
      <c r="G20" s="228"/>
      <c r="H20" s="217"/>
    </row>
    <row r="21" spans="1:13" ht="13" x14ac:dyDescent="0.3">
      <c r="A21" s="85"/>
      <c r="B21" s="34"/>
      <c r="C21" s="86" t="s">
        <v>151</v>
      </c>
      <c r="D21" s="34"/>
      <c r="E21" s="87">
        <v>1390654.8373999968</v>
      </c>
      <c r="F21" s="34"/>
      <c r="G21" s="88"/>
      <c r="H21" s="218"/>
    </row>
    <row r="23" spans="1:13" ht="13" x14ac:dyDescent="0.3">
      <c r="A23" s="76" t="s">
        <v>152</v>
      </c>
      <c r="B23" s="77"/>
      <c r="C23" s="89" t="s">
        <v>126</v>
      </c>
      <c r="D23" s="89" t="s">
        <v>101</v>
      </c>
      <c r="E23" s="90" t="s">
        <v>130</v>
      </c>
    </row>
    <row r="24" spans="1:13" x14ac:dyDescent="0.25">
      <c r="A24" s="79"/>
      <c r="E24" s="82"/>
    </row>
    <row r="25" spans="1:13" ht="13" x14ac:dyDescent="0.3">
      <c r="A25" s="79" t="s">
        <v>153</v>
      </c>
      <c r="C25" s="83">
        <v>0.2</v>
      </c>
      <c r="D25" s="84">
        <v>0.50374466594627421</v>
      </c>
      <c r="E25" s="91" t="s">
        <v>131</v>
      </c>
    </row>
    <row r="26" spans="1:13" x14ac:dyDescent="0.25">
      <c r="A26" s="79"/>
      <c r="E26" s="82"/>
    </row>
    <row r="27" spans="1:13" ht="13" x14ac:dyDescent="0.3">
      <c r="A27" s="79" t="s">
        <v>87</v>
      </c>
      <c r="C27" s="92">
        <v>227670233.63605437</v>
      </c>
      <c r="D27" s="92">
        <v>227670233.63605437</v>
      </c>
      <c r="E27" s="91" t="s">
        <v>131</v>
      </c>
      <c r="G27" s="76" t="s">
        <v>154</v>
      </c>
      <c r="H27" s="77"/>
      <c r="I27" s="89"/>
      <c r="J27" s="90"/>
      <c r="K27" s="229"/>
      <c r="L27" s="229"/>
      <c r="M27" s="229"/>
    </row>
    <row r="28" spans="1:13" x14ac:dyDescent="0.25">
      <c r="A28" s="85"/>
      <c r="B28" s="34"/>
      <c r="C28" s="34"/>
      <c r="D28" s="34"/>
      <c r="E28" s="88"/>
      <c r="G28" s="79"/>
      <c r="H28" s="229" t="s">
        <v>155</v>
      </c>
      <c r="I28" s="229" t="s">
        <v>156</v>
      </c>
      <c r="J28" s="93" t="s">
        <v>130</v>
      </c>
      <c r="M28" s="229"/>
    </row>
    <row r="29" spans="1:13" ht="13" x14ac:dyDescent="0.3">
      <c r="C29" s="84"/>
      <c r="D29" s="84"/>
      <c r="E29" s="222"/>
      <c r="G29" s="79"/>
      <c r="H29" s="229"/>
      <c r="I29" s="229"/>
      <c r="J29" s="93"/>
      <c r="M29" s="229"/>
    </row>
    <row r="30" spans="1:13" ht="13" x14ac:dyDescent="0.3">
      <c r="A30" s="76" t="s">
        <v>157</v>
      </c>
      <c r="B30" s="77"/>
      <c r="C30" s="77"/>
      <c r="D30" s="77"/>
      <c r="E30" s="78"/>
      <c r="G30" s="79"/>
      <c r="J30" s="82"/>
    </row>
    <row r="31" spans="1:13" ht="13" x14ac:dyDescent="0.3">
      <c r="A31" s="94"/>
      <c r="D31" s="95"/>
      <c r="E31" s="82"/>
      <c r="G31" s="79" t="s">
        <v>158</v>
      </c>
      <c r="H31" s="96">
        <v>0</v>
      </c>
      <c r="I31" s="96">
        <v>300000000</v>
      </c>
      <c r="J31" s="97" t="s">
        <v>159</v>
      </c>
      <c r="K31" s="98"/>
      <c r="M31" s="98"/>
    </row>
    <row r="32" spans="1:13" ht="13" x14ac:dyDescent="0.3">
      <c r="A32" s="94" t="s">
        <v>160</v>
      </c>
      <c r="B32" s="28" t="s">
        <v>161</v>
      </c>
      <c r="E32" s="99">
        <v>0</v>
      </c>
      <c r="G32" s="100"/>
      <c r="H32" s="98"/>
      <c r="I32" s="96"/>
      <c r="J32" s="93"/>
      <c r="K32" s="98"/>
      <c r="M32" s="222"/>
    </row>
    <row r="33" spans="1:13" ht="13" x14ac:dyDescent="0.3">
      <c r="A33" s="94"/>
      <c r="E33" s="101"/>
      <c r="G33" s="79" t="s">
        <v>162</v>
      </c>
      <c r="H33" s="96">
        <v>0</v>
      </c>
      <c r="I33" s="96">
        <v>600000000</v>
      </c>
      <c r="J33" s="97" t="s">
        <v>159</v>
      </c>
      <c r="K33" s="98"/>
    </row>
    <row r="34" spans="1:13" x14ac:dyDescent="0.25">
      <c r="A34" s="94" t="s">
        <v>163</v>
      </c>
      <c r="B34" s="28" t="s">
        <v>164</v>
      </c>
      <c r="E34" s="99">
        <v>1390654.8373999968</v>
      </c>
      <c r="F34" s="96"/>
      <c r="G34" s="79"/>
      <c r="I34" s="96"/>
      <c r="J34" s="82"/>
    </row>
    <row r="35" spans="1:13" ht="13" x14ac:dyDescent="0.3">
      <c r="A35" s="94"/>
      <c r="E35" s="99"/>
      <c r="G35" s="79" t="s">
        <v>165</v>
      </c>
      <c r="H35" s="96">
        <v>0</v>
      </c>
      <c r="I35" s="96">
        <v>600000000</v>
      </c>
      <c r="J35" s="97" t="s">
        <v>159</v>
      </c>
    </row>
    <row r="36" spans="1:13" ht="13" x14ac:dyDescent="0.3">
      <c r="A36" s="79"/>
      <c r="C36" s="102" t="s">
        <v>143</v>
      </c>
      <c r="D36" s="102" t="s">
        <v>126</v>
      </c>
      <c r="E36" s="82"/>
      <c r="G36" s="79"/>
      <c r="H36" s="96"/>
      <c r="I36" s="96"/>
      <c r="J36" s="97"/>
      <c r="K36" s="98"/>
    </row>
    <row r="37" spans="1:13" x14ac:dyDescent="0.25">
      <c r="A37" s="94" t="s">
        <v>166</v>
      </c>
      <c r="B37" s="28" t="s">
        <v>167</v>
      </c>
      <c r="C37" s="230">
        <v>307358314.16000003</v>
      </c>
      <c r="D37" s="83">
        <v>0.2</v>
      </c>
      <c r="E37" s="227">
        <v>0</v>
      </c>
      <c r="G37" s="79"/>
      <c r="J37" s="82"/>
    </row>
    <row r="38" spans="1:13" ht="13" x14ac:dyDescent="0.3">
      <c r="A38" s="79"/>
      <c r="D38" s="83"/>
      <c r="E38" s="103"/>
      <c r="G38" s="106" t="s">
        <v>169</v>
      </c>
      <c r="H38" s="231"/>
      <c r="J38" s="97" t="s">
        <v>83</v>
      </c>
      <c r="K38" s="231"/>
      <c r="L38" s="231"/>
      <c r="M38" s="231"/>
    </row>
    <row r="39" spans="1:13" ht="13" x14ac:dyDescent="0.3">
      <c r="A39" s="85"/>
      <c r="B39" s="104" t="s">
        <v>168</v>
      </c>
      <c r="C39" s="34"/>
      <c r="D39" s="34"/>
      <c r="E39" s="105">
        <v>1390654.8373999968</v>
      </c>
      <c r="G39" s="85"/>
      <c r="H39" s="34"/>
      <c r="I39" s="34"/>
      <c r="J39" s="88"/>
    </row>
    <row r="41" spans="1:13" x14ac:dyDescent="0.25">
      <c r="G41" s="27" t="s">
        <v>170</v>
      </c>
    </row>
    <row r="42" spans="1:13" ht="13" x14ac:dyDescent="0.3">
      <c r="F42" s="232"/>
    </row>
    <row r="43" spans="1:13" x14ac:dyDescent="0.25">
      <c r="A43" s="233"/>
      <c r="D43" s="83"/>
      <c r="E43" s="83"/>
    </row>
    <row r="44" spans="1:13" x14ac:dyDescent="0.25">
      <c r="A44" s="233"/>
      <c r="D44" s="83"/>
      <c r="E44" s="83"/>
    </row>
    <row r="45" spans="1:13" ht="13" x14ac:dyDescent="0.3">
      <c r="C45" s="83"/>
      <c r="D45" s="83"/>
      <c r="H45" s="232"/>
    </row>
    <row r="50" spans="3:9" ht="13" x14ac:dyDescent="0.3">
      <c r="C50" s="225"/>
      <c r="D50" s="217"/>
      <c r="E50" s="217"/>
      <c r="F50" s="107"/>
    </row>
    <row r="51" spans="3:9" ht="13" x14ac:dyDescent="0.3">
      <c r="C51" s="234"/>
      <c r="D51" s="216"/>
      <c r="E51" s="216"/>
      <c r="F51" s="216"/>
      <c r="G51" s="217"/>
      <c r="H51" s="217"/>
      <c r="I51" s="217"/>
    </row>
    <row r="52" spans="3:9" ht="13" x14ac:dyDescent="0.3">
      <c r="C52" s="217"/>
      <c r="D52" s="220"/>
      <c r="E52" s="235"/>
      <c r="F52" s="220"/>
      <c r="G52" s="216"/>
      <c r="H52" s="216"/>
      <c r="I52" s="216"/>
    </row>
    <row r="53" spans="3:9" x14ac:dyDescent="0.25">
      <c r="C53" s="217"/>
      <c r="D53" s="220"/>
      <c r="E53" s="235"/>
      <c r="F53" s="220"/>
      <c r="G53" s="236"/>
      <c r="H53" s="236"/>
      <c r="I53" s="221"/>
    </row>
    <row r="54" spans="3:9" x14ac:dyDescent="0.25">
      <c r="C54" s="217"/>
      <c r="D54" s="217"/>
      <c r="E54" s="217"/>
      <c r="F54" s="217"/>
      <c r="G54" s="236"/>
      <c r="H54" s="236"/>
      <c r="I54" s="221"/>
    </row>
    <row r="55" spans="3:9" ht="13" x14ac:dyDescent="0.3">
      <c r="C55" s="225"/>
      <c r="D55" s="220"/>
      <c r="E55" s="226"/>
      <c r="F55" s="220"/>
      <c r="G55" s="217"/>
      <c r="H55" s="217"/>
      <c r="I55" s="217"/>
    </row>
    <row r="56" spans="3:9" x14ac:dyDescent="0.25">
      <c r="C56" s="217"/>
      <c r="D56" s="217"/>
      <c r="E56" s="217"/>
      <c r="F56" s="217"/>
      <c r="G56" s="220"/>
      <c r="H56" s="220"/>
      <c r="I56" s="220"/>
    </row>
    <row r="57" spans="3:9" ht="13" x14ac:dyDescent="0.3">
      <c r="C57" s="225"/>
      <c r="D57" s="217"/>
      <c r="E57" s="217"/>
      <c r="F57" s="220"/>
      <c r="G57" s="217"/>
      <c r="H57" s="217"/>
      <c r="I57" s="217"/>
    </row>
    <row r="58" spans="3:9" x14ac:dyDescent="0.25">
      <c r="C58" s="217"/>
      <c r="D58" s="217"/>
      <c r="E58" s="217"/>
      <c r="F58" s="217"/>
      <c r="G58" s="217"/>
      <c r="H58" s="217"/>
      <c r="I58" s="217"/>
    </row>
    <row r="59" spans="3:9" ht="13" x14ac:dyDescent="0.3">
      <c r="C59" s="225"/>
      <c r="D59" s="217"/>
      <c r="E59" s="217"/>
      <c r="F59" s="217"/>
      <c r="G59" s="217"/>
      <c r="H59" s="217"/>
      <c r="I59" s="217"/>
    </row>
    <row r="60" spans="3:9" ht="13" x14ac:dyDescent="0.3">
      <c r="C60" s="234"/>
      <c r="D60" s="216"/>
      <c r="E60" s="216"/>
      <c r="F60" s="216"/>
      <c r="G60" s="217"/>
      <c r="H60" s="217"/>
      <c r="I60" s="217"/>
    </row>
    <row r="61" spans="3:9" x14ac:dyDescent="0.25">
      <c r="C61" s="217"/>
      <c r="D61" s="220"/>
      <c r="E61" s="235"/>
      <c r="F61" s="220"/>
      <c r="G61" s="217"/>
      <c r="H61" s="217"/>
      <c r="I61" s="217"/>
    </row>
    <row r="62" spans="3:9" x14ac:dyDescent="0.25">
      <c r="C62" s="217"/>
      <c r="D62" s="220"/>
      <c r="E62" s="235"/>
      <c r="F62" s="220"/>
      <c r="G62" s="217"/>
      <c r="H62" s="217"/>
      <c r="I62" s="217"/>
    </row>
    <row r="63" spans="3:9" x14ac:dyDescent="0.25">
      <c r="C63" s="217"/>
      <c r="D63" s="217"/>
      <c r="E63" s="217"/>
      <c r="F63" s="217"/>
      <c r="G63" s="217"/>
      <c r="H63" s="217"/>
      <c r="I63" s="217"/>
    </row>
    <row r="64" spans="3:9" ht="13" x14ac:dyDescent="0.3">
      <c r="C64" s="225"/>
      <c r="D64" s="220"/>
      <c r="E64" s="226"/>
      <c r="F64" s="220"/>
      <c r="G64" s="217"/>
      <c r="H64" s="217"/>
      <c r="I64" s="217"/>
    </row>
    <row r="65" spans="3:9" x14ac:dyDescent="0.25">
      <c r="C65" s="217"/>
      <c r="D65" s="217"/>
      <c r="E65" s="217"/>
      <c r="F65" s="217"/>
      <c r="G65" s="217"/>
      <c r="H65" s="217"/>
      <c r="I65" s="217"/>
    </row>
    <row r="66" spans="3:9" ht="13" x14ac:dyDescent="0.3">
      <c r="C66" s="225"/>
      <c r="D66" s="225"/>
      <c r="E66" s="225"/>
      <c r="F66" s="218"/>
      <c r="G66" s="217"/>
      <c r="H66" s="217"/>
      <c r="I66" s="217"/>
    </row>
    <row r="67" spans="3:9" ht="13" x14ac:dyDescent="0.3">
      <c r="C67" s="217"/>
      <c r="D67" s="217"/>
      <c r="E67" s="217"/>
      <c r="F67" s="217"/>
      <c r="G67" s="225"/>
      <c r="H67" s="225"/>
      <c r="I67" s="225"/>
    </row>
    <row r="68" spans="3:9" x14ac:dyDescent="0.25">
      <c r="C68" s="217"/>
      <c r="D68" s="217"/>
      <c r="E68" s="217"/>
      <c r="F68" s="217"/>
      <c r="G68" s="217"/>
      <c r="H68" s="217"/>
      <c r="I68" s="217"/>
    </row>
    <row r="69" spans="3:9" x14ac:dyDescent="0.25">
      <c r="G69" s="217"/>
      <c r="H69" s="217"/>
      <c r="I69" s="217"/>
    </row>
  </sheetData>
  <pageMargins left="0.2" right="0.22" top="0.5" bottom="0.5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May24 Aggregate</vt:lpstr>
      <vt:lpstr>May24 2024-B</vt:lpstr>
      <vt:lpstr>May24 Pool Data</vt:lpstr>
      <vt:lpstr>Apr24 Aggregate</vt:lpstr>
      <vt:lpstr>Apr24 2024-B</vt:lpstr>
      <vt:lpstr>Apr24 Pool Data</vt:lpstr>
      <vt:lpstr>Mar24 Aggregate</vt:lpstr>
      <vt:lpstr>Mar24 2024-B</vt:lpstr>
      <vt:lpstr>Mar24 Pool 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keywords/>
  <cp:lastModifiedBy>Wang, Yu</cp:lastModifiedBy>
  <dcterms:created xsi:type="dcterms:W3CDTF">2022-02-11T20:42:07Z</dcterms:created>
  <dcterms:modified xsi:type="dcterms:W3CDTF">2024-06-18T16:32:49Z</dcterms:modified>
  <cp:category>NONE</cp:category>
</cp:coreProperties>
</file>